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6380" windowHeight="8190" tabRatio="500" activeTab="2"/>
  </bookViews>
  <sheets>
    <sheet name="1. Основные положения ГП Уточ" sheetId="1" r:id="rId1"/>
    <sheet name="4. Структура " sheetId="9" r:id="rId2"/>
    <sheet name="5. Финансиров 12.11.2025" sheetId="2" r:id="rId3"/>
    <sheet name="Методика расчета УТОЧ" sheetId="8" r:id="rId4"/>
  </sheets>
  <externalReferences>
    <externalReference r:id="rId5"/>
    <externalReference r:id="rId6"/>
  </externalReferences>
  <definedNames>
    <definedName name="_bookmark4" localSheetId="2">'[1]5. финансиров 26.11'!#REF!</definedName>
    <definedName name="_ftn1" localSheetId="3">'Методика расчета УТОЧ'!#REF!</definedName>
    <definedName name="_ftn2" localSheetId="0">'1. Основные положения ГП Уточ'!#REF!</definedName>
    <definedName name="_ftn2" localSheetId="1">'4. Структура '!#REF!</definedName>
    <definedName name="_ftn3" localSheetId="0">'1. Основные положения ГП Уточ'!#REF!</definedName>
    <definedName name="_ftn3" localSheetId="1">'4. Структура '!#REF!</definedName>
    <definedName name="_ftn4" localSheetId="0">'1. Основные положения ГП Уточ'!#REF!</definedName>
    <definedName name="_ftn5" localSheetId="0">'1. Основные положения ГП Уточ'!#REF!</definedName>
    <definedName name="_ftn6" localSheetId="3">'Методика расчета УТОЧ'!#REF!</definedName>
    <definedName name="_ftn7" localSheetId="3">'Методика расчета УТОЧ'!#REF!</definedName>
    <definedName name="_ftnref1" localSheetId="3">'Методика расчета УТОЧ'!$D$5</definedName>
    <definedName name="_ftnref2" localSheetId="0">'1. Основные положения ГП Уточ'!$A$7</definedName>
    <definedName name="_ftnref3" localSheetId="0">'1. Основные положения ГП Уточ'!$A$9</definedName>
    <definedName name="_ftnref4" localSheetId="0">'1. Основные положения ГП Уточ'!#REF!</definedName>
    <definedName name="_ftnref4" localSheetId="1">'4. Структура '!#REF!</definedName>
    <definedName name="_ftnref5" localSheetId="0">'1. Основные положения ГП Уточ'!$B$16</definedName>
    <definedName name="_ftnref5" localSheetId="1">'4. Структура '!#REF!</definedName>
    <definedName name="_ftnref6" localSheetId="1">'4. Структура '!#REF!</definedName>
    <definedName name="_ftnref7" localSheetId="3">'Методика расчета УТОЧ'!$L$5</definedName>
    <definedName name="_xlnm.Print_Titles" localSheetId="1">'4. Структура '!$3:$5</definedName>
    <definedName name="_xlnm.Print_Titles" localSheetId="2">'5. Финансиров 12.11.2025'!$57:$59</definedName>
    <definedName name="_xlnm.Print_Titles" localSheetId="3">'Методика расчета УТОЧ'!$5:$6</definedName>
    <definedName name="_xlnm.Print_Area" localSheetId="0">'1. Основные положения ГП Уточ'!$A$1:$C$33</definedName>
    <definedName name="_xlnm.Print_Area" localSheetId="1">'4. Структура '!$A$1:$D$59</definedName>
    <definedName name="_xlnm.Print_Area" localSheetId="2">'5. Финансиров 12.11.2025'!$A$9:$O$226</definedName>
    <definedName name="_xlnm.Print_Area" localSheetId="3">'Методика расчета УТОЧ'!$A$1:$L$12</definedName>
  </definedNames>
  <calcPr calcId="124519"/>
  <extLst>
    <ext xmlns:loext="http://schemas.libreoffice.org/" uri="{7626C862-2A13-11E5-B345-FEFF819CDC9F}">
      <loext:extCalcPr stringRefSyntax="ExcelA1"/>
    </ext>
  </extLst>
</workbook>
</file>

<file path=xl/calcChain.xml><?xml version="1.0" encoding="utf-8"?>
<calcChain xmlns="http://schemas.openxmlformats.org/spreadsheetml/2006/main">
  <c r="J122" i="2"/>
  <c r="J63" s="1"/>
  <c r="J121"/>
  <c r="H62"/>
  <c r="N212"/>
  <c r="M212"/>
  <c r="L212"/>
  <c r="I212"/>
  <c r="N215"/>
  <c r="M215"/>
  <c r="L215"/>
  <c r="I215"/>
  <c r="N214"/>
  <c r="M214"/>
  <c r="L214"/>
  <c r="I214"/>
  <c r="Q208" l="1"/>
  <c r="N207"/>
  <c r="M207"/>
  <c r="L207"/>
  <c r="K207"/>
  <c r="J207"/>
  <c r="I207"/>
  <c r="H200"/>
  <c r="I199"/>
  <c r="H199"/>
  <c r="I198"/>
  <c r="H193"/>
  <c r="I189"/>
  <c r="Q184" l="1"/>
  <c r="H183"/>
  <c r="J174"/>
  <c r="I173" l="1"/>
  <c r="N169"/>
  <c r="M169"/>
  <c r="L169"/>
  <c r="I143" l="1"/>
  <c r="H104" l="1"/>
  <c r="H100"/>
  <c r="K101"/>
  <c r="J101"/>
  <c r="I90" l="1"/>
  <c r="I85"/>
  <c r="K84"/>
  <c r="J84"/>
  <c r="K83"/>
  <c r="J83"/>
  <c r="K82"/>
  <c r="J82"/>
  <c r="I82"/>
  <c r="I63"/>
  <c r="I243" s="1"/>
  <c r="J243"/>
  <c r="K63"/>
  <c r="K243" s="1"/>
  <c r="K68"/>
  <c r="J70"/>
  <c r="I245"/>
  <c r="J68"/>
  <c r="I68"/>
  <c r="L245"/>
  <c r="K245"/>
  <c r="J245"/>
  <c r="I240" l="1"/>
  <c r="I239"/>
  <c r="L68"/>
  <c r="L244" s="1"/>
  <c r="K244"/>
  <c r="J244"/>
  <c r="L235"/>
  <c r="L240" s="1"/>
  <c r="K235"/>
  <c r="K240" s="1"/>
  <c r="J235"/>
  <c r="J240" s="1"/>
  <c r="M187" l="1"/>
  <c r="L187"/>
  <c r="J187"/>
  <c r="I187"/>
  <c r="I244"/>
  <c r="J159" l="1"/>
  <c r="I159"/>
  <c r="N63"/>
  <c r="M63"/>
  <c r="L63"/>
  <c r="L243" s="1"/>
  <c r="K159"/>
  <c r="O102"/>
  <c r="O164" l="1"/>
  <c r="O96" l="1"/>
  <c r="K97"/>
  <c r="K93"/>
  <c r="J93"/>
  <c r="I93"/>
  <c r="O84"/>
  <c r="O112"/>
  <c r="N204"/>
  <c r="M204"/>
  <c r="L204"/>
  <c r="K204"/>
  <c r="J204"/>
  <c r="I204"/>
  <c r="J97" l="1"/>
  <c r="I97"/>
  <c r="O196"/>
  <c r="O197"/>
  <c r="I81"/>
  <c r="O215" l="1"/>
  <c r="O214"/>
  <c r="O213"/>
  <c r="H213"/>
  <c r="H211" s="1"/>
  <c r="Q211" s="1"/>
  <c r="K211"/>
  <c r="T211" s="1"/>
  <c r="J211"/>
  <c r="S211" s="1"/>
  <c r="I211"/>
  <c r="R211" s="1"/>
  <c r="O207"/>
  <c r="N208"/>
  <c r="M208"/>
  <c r="L208"/>
  <c r="K208"/>
  <c r="J208"/>
  <c r="I208"/>
  <c r="O201"/>
  <c r="O200"/>
  <c r="O199"/>
  <c r="O198"/>
  <c r="H195"/>
  <c r="O194"/>
  <c r="O193"/>
  <c r="O192"/>
  <c r="O191"/>
  <c r="O190"/>
  <c r="O189"/>
  <c r="O188"/>
  <c r="N187"/>
  <c r="W187" s="1"/>
  <c r="V187"/>
  <c r="U187"/>
  <c r="K187"/>
  <c r="T187" s="1"/>
  <c r="S187"/>
  <c r="R187"/>
  <c r="O183"/>
  <c r="N180"/>
  <c r="N184" s="1"/>
  <c r="M180"/>
  <c r="M184" s="1"/>
  <c r="L180"/>
  <c r="L184" s="1"/>
  <c r="K180"/>
  <c r="K184" s="1"/>
  <c r="J180"/>
  <c r="J184" s="1"/>
  <c r="I180"/>
  <c r="I184" s="1"/>
  <c r="H180"/>
  <c r="H184" s="1"/>
  <c r="O177"/>
  <c r="O176"/>
  <c r="O175"/>
  <c r="O174"/>
  <c r="O173"/>
  <c r="O172"/>
  <c r="O171"/>
  <c r="O170"/>
  <c r="O168"/>
  <c r="O167"/>
  <c r="O166"/>
  <c r="O165"/>
  <c r="N159"/>
  <c r="W159" s="1"/>
  <c r="L159"/>
  <c r="U159" s="1"/>
  <c r="T159"/>
  <c r="S159"/>
  <c r="R159"/>
  <c r="H163"/>
  <c r="O162"/>
  <c r="O161"/>
  <c r="H161"/>
  <c r="H160"/>
  <c r="O160" s="1"/>
  <c r="O155"/>
  <c r="N152"/>
  <c r="M152"/>
  <c r="L152"/>
  <c r="L65" s="1"/>
  <c r="K152"/>
  <c r="J152"/>
  <c r="J156" s="1"/>
  <c r="I152"/>
  <c r="H152"/>
  <c r="H156" s="1"/>
  <c r="O149"/>
  <c r="O148"/>
  <c r="K140"/>
  <c r="T140" s="1"/>
  <c r="J140"/>
  <c r="S140" s="1"/>
  <c r="O147"/>
  <c r="O146"/>
  <c r="O145"/>
  <c r="O144"/>
  <c r="I140"/>
  <c r="O142"/>
  <c r="H141"/>
  <c r="O141" s="1"/>
  <c r="N140"/>
  <c r="M140"/>
  <c r="V140" s="1"/>
  <c r="L140"/>
  <c r="O129"/>
  <c r="O127"/>
  <c r="O122"/>
  <c r="J124"/>
  <c r="J128" s="1"/>
  <c r="H121"/>
  <c r="O111"/>
  <c r="O107"/>
  <c r="K104"/>
  <c r="J104"/>
  <c r="I101"/>
  <c r="O101" s="1"/>
  <c r="W100"/>
  <c r="V100"/>
  <c r="U100"/>
  <c r="O100"/>
  <c r="H93"/>
  <c r="H97" s="1"/>
  <c r="O90"/>
  <c r="O89"/>
  <c r="O88"/>
  <c r="O87"/>
  <c r="O86"/>
  <c r="O85"/>
  <c r="K81"/>
  <c r="O80"/>
  <c r="O79"/>
  <c r="O78"/>
  <c r="O77"/>
  <c r="O76"/>
  <c r="O75"/>
  <c r="O74"/>
  <c r="U73"/>
  <c r="T73"/>
  <c r="S73"/>
  <c r="H73"/>
  <c r="H70"/>
  <c r="N68"/>
  <c r="M68"/>
  <c r="H68"/>
  <c r="H63"/>
  <c r="O54"/>
  <c r="O53"/>
  <c r="O52"/>
  <c r="N51"/>
  <c r="M51"/>
  <c r="L51"/>
  <c r="K51"/>
  <c r="J51"/>
  <c r="I51"/>
  <c r="H51"/>
  <c r="O50"/>
  <c r="O49"/>
  <c r="O48"/>
  <c r="N47"/>
  <c r="M47"/>
  <c r="L47"/>
  <c r="K47"/>
  <c r="J47"/>
  <c r="I47"/>
  <c r="H47"/>
  <c r="O46"/>
  <c r="O45"/>
  <c r="O44"/>
  <c r="N43"/>
  <c r="M43"/>
  <c r="L43"/>
  <c r="K43"/>
  <c r="J43"/>
  <c r="I43"/>
  <c r="H43"/>
  <c r="O41"/>
  <c r="O40"/>
  <c r="N39"/>
  <c r="M39"/>
  <c r="L39"/>
  <c r="K39"/>
  <c r="J39"/>
  <c r="I39"/>
  <c r="H39"/>
  <c r="O38"/>
  <c r="O37"/>
  <c r="O36"/>
  <c r="N35"/>
  <c r="M35"/>
  <c r="L35"/>
  <c r="K35"/>
  <c r="J35"/>
  <c r="I35"/>
  <c r="H35"/>
  <c r="O34"/>
  <c r="O33"/>
  <c r="O32"/>
  <c r="N31"/>
  <c r="M31"/>
  <c r="L31"/>
  <c r="K31"/>
  <c r="J31"/>
  <c r="I31"/>
  <c r="H31"/>
  <c r="O30"/>
  <c r="O29"/>
  <c r="O28"/>
  <c r="I27"/>
  <c r="O27" s="1"/>
  <c r="H27"/>
  <c r="O26"/>
  <c r="O25"/>
  <c r="O24"/>
  <c r="I23"/>
  <c r="H23"/>
  <c r="O22"/>
  <c r="O21"/>
  <c r="O20"/>
  <c r="J19"/>
  <c r="I19"/>
  <c r="H19"/>
  <c r="N17"/>
  <c r="M17"/>
  <c r="L17"/>
  <c r="K17"/>
  <c r="J17"/>
  <c r="I17"/>
  <c r="H17"/>
  <c r="N16"/>
  <c r="M16"/>
  <c r="L16"/>
  <c r="K16"/>
  <c r="J16"/>
  <c r="I16"/>
  <c r="H16"/>
  <c r="N15"/>
  <c r="M15"/>
  <c r="L15"/>
  <c r="K15"/>
  <c r="J15"/>
  <c r="I15"/>
  <c r="H15"/>
  <c r="A1"/>
  <c r="I62" l="1"/>
  <c r="I242" s="1"/>
  <c r="I246" s="1"/>
  <c r="K65"/>
  <c r="K69" s="1"/>
  <c r="J65"/>
  <c r="J69" s="1"/>
  <c r="I156"/>
  <c r="K62"/>
  <c r="K242" s="1"/>
  <c r="K246" s="1"/>
  <c r="O73"/>
  <c r="Q73"/>
  <c r="J108"/>
  <c r="L69"/>
  <c r="I108"/>
  <c r="I104"/>
  <c r="I65" s="1"/>
  <c r="I69" s="1"/>
  <c r="O70"/>
  <c r="C26" i="1" s="1"/>
  <c r="O19" i="2"/>
  <c r="O17"/>
  <c r="I14"/>
  <c r="O47"/>
  <c r="N14"/>
  <c r="H140"/>
  <c r="Q140" s="1"/>
  <c r="O51"/>
  <c r="N65"/>
  <c r="N69" s="1"/>
  <c r="J14"/>
  <c r="O35"/>
  <c r="J81"/>
  <c r="J62" s="1"/>
  <c r="J242" s="1"/>
  <c r="J246" s="1"/>
  <c r="O91"/>
  <c r="S100"/>
  <c r="H187"/>
  <c r="O187" s="1"/>
  <c r="X187" s="1"/>
  <c r="H14"/>
  <c r="O43"/>
  <c r="O15"/>
  <c r="M14"/>
  <c r="O82"/>
  <c r="R100"/>
  <c r="H204"/>
  <c r="L211"/>
  <c r="U211" s="1"/>
  <c r="K108"/>
  <c r="O169"/>
  <c r="O121"/>
  <c r="Q121" s="1"/>
  <c r="L14"/>
  <c r="K14"/>
  <c r="O63"/>
  <c r="C20" i="1" s="1"/>
  <c r="H159" i="2"/>
  <c r="O16"/>
  <c r="O31"/>
  <c r="O39"/>
  <c r="H124"/>
  <c r="H128" s="1"/>
  <c r="O68"/>
  <c r="O180"/>
  <c r="O184" s="1"/>
  <c r="O152"/>
  <c r="O156" s="1"/>
  <c r="N211"/>
  <c r="W211" s="1"/>
  <c r="M211"/>
  <c r="V211" s="1"/>
  <c r="R140"/>
  <c r="U140"/>
  <c r="O23"/>
  <c r="R73"/>
  <c r="M65"/>
  <c r="M69" s="1"/>
  <c r="O83"/>
  <c r="W140"/>
  <c r="O163"/>
  <c r="O195"/>
  <c r="O93"/>
  <c r="T100"/>
  <c r="O143"/>
  <c r="M159"/>
  <c r="V159" s="1"/>
  <c r="Q100"/>
  <c r="L62" l="1"/>
  <c r="L242" s="1"/>
  <c r="L246" s="1"/>
  <c r="O140"/>
  <c r="Q155" s="1"/>
  <c r="K234"/>
  <c r="J234"/>
  <c r="J61"/>
  <c r="I234"/>
  <c r="I61"/>
  <c r="O81"/>
  <c r="Q81" s="1"/>
  <c r="I56"/>
  <c r="O124"/>
  <c r="O128" s="1"/>
  <c r="X211"/>
  <c r="X100"/>
  <c r="Q187"/>
  <c r="X140"/>
  <c r="O104"/>
  <c r="O108" s="1"/>
  <c r="H108"/>
  <c r="O212"/>
  <c r="O211" s="1"/>
  <c r="H56"/>
  <c r="O14"/>
  <c r="O204"/>
  <c r="O208" s="1"/>
  <c r="H208"/>
  <c r="H65"/>
  <c r="H69" s="1"/>
  <c r="O159"/>
  <c r="Q159" s="1"/>
  <c r="X159" s="1"/>
  <c r="O97"/>
  <c r="N62"/>
  <c r="X73"/>
  <c r="M62"/>
  <c r="K61"/>
  <c r="K56"/>
  <c r="L234" l="1"/>
  <c r="J56"/>
  <c r="H61"/>
  <c r="O65"/>
  <c r="C22" i="1" s="1"/>
  <c r="L56" i="2"/>
  <c r="L61"/>
  <c r="M61"/>
  <c r="M56"/>
  <c r="O62"/>
  <c r="N61"/>
  <c r="N56"/>
  <c r="O69" l="1"/>
  <c r="C25" i="1" s="1"/>
  <c r="O61" i="2"/>
  <c r="S63" s="1"/>
  <c r="S64" s="1"/>
  <c r="R63"/>
  <c r="C19" i="1"/>
  <c r="O56" i="2"/>
  <c r="Q62"/>
  <c r="C18" i="1" l="1"/>
</calcChain>
</file>

<file path=xl/sharedStrings.xml><?xml version="1.0" encoding="utf-8"?>
<sst xmlns="http://schemas.openxmlformats.org/spreadsheetml/2006/main" count="650" uniqueCount="364">
  <si>
    <t>1. Основные положения</t>
  </si>
  <si>
    <t xml:space="preserve">Куратор государственной программы </t>
  </si>
  <si>
    <t xml:space="preserve">Ответственный исполнитель государственной программы </t>
  </si>
  <si>
    <t>Евтушенко С.В. –  министр автомобильных дорог и транспорта Белгородской области</t>
  </si>
  <si>
    <t>Период реализации государственной программы</t>
  </si>
  <si>
    <t>2024 – 2030 годы</t>
  </si>
  <si>
    <t>Цель государственной программы</t>
  </si>
  <si>
    <t xml:space="preserve">Обеспечение доли дорожной сети в крупнейших городских агломерациях, соответствующей
нормативным требованиям, на уровне не менее 85 процентов  к 2030 году                                                </t>
  </si>
  <si>
    <t xml:space="preserve">Направления (подпрограммы) государственной программы </t>
  </si>
  <si>
    <t>Направление (подпрограмма) не выделяется</t>
  </si>
  <si>
    <t>Направление (подпрограмма) N «Наименование»</t>
  </si>
  <si>
    <t>Объемы финансового обеспечения за весь период реализации, в том числе по источникам финансирования:</t>
  </si>
  <si>
    <t>Источник финансового обеспечения</t>
  </si>
  <si>
    <t>Объем финансового обеспечения, тыс. рублей</t>
  </si>
  <si>
    <t>ВСЕГО</t>
  </si>
  <si>
    <t>Региональный бюджет (всего), из них:</t>
  </si>
  <si>
    <t xml:space="preserve">   </t>
  </si>
  <si>
    <t>- межбюджетные трансферты из федерального бюджета (справочно)</t>
  </si>
  <si>
    <t>- межбюджетные трансферты из иных бюджетов бюджетной системы Российской Федерации (справочно)</t>
  </si>
  <si>
    <t xml:space="preserve"> - межбюджетные трансферты местным бюджетам</t>
  </si>
  <si>
    <t>- межбюджетные трансферты бюджету территориального государственного внебюджетного фонда (бюджету территориального фонда обязательного медицинского страхования)</t>
  </si>
  <si>
    <t>Бюджет территориального государственного внебюджетного фонда (бюджет территориального фонда обязательного медицинского страхования)</t>
  </si>
  <si>
    <t>Консолидированные бюджеты муниципальных образований</t>
  </si>
  <si>
    <t>Внебюджетные источники</t>
  </si>
  <si>
    <t>Объем налоговых расходов (справочно)</t>
  </si>
  <si>
    <t>Связь с национальными целями развития Российской Федерации / государственной программой Российской Федерации</t>
  </si>
  <si>
    <t xml:space="preserve">Национальная цель:  «Комфортная и безопасная среда для жизни»                              </t>
  </si>
  <si>
    <t xml:space="preserve"> </t>
  </si>
  <si>
    <t xml:space="preserve">Показатель: увеличение к 2030 году доли соответствующих нормативным требованиям автомобильных дорог федерального значения и дорог крупнейших городских агломераций не менее чем до 85 процентов, опорной сети автомобильных дорог – не менее чем до 85 процентов                        </t>
  </si>
  <si>
    <t>Государственная программа Российской Федерации «Развитие транспортной системы», утвержденная постановлением Правительства Российской Федерации от 20 декабря 2017 года № 1596</t>
  </si>
  <si>
    <t xml:space="preserve">Цель: доведение доли автомобильных дорог регионального и межмуниципального значения, соответствущих нормативным требованиям, до 60 процентов  </t>
  </si>
  <si>
    <t>Связь с целями развития Белгородской области / стратегическими приоритетами Белгородской области</t>
  </si>
  <si>
    <t xml:space="preserve">Цель стратегического развития Белгородской области: обеспечить справедливые возможности                 и достойную жизнь в лучшем регионе России (обеспечение транспортной доступности на всей территории Белгородской области и повышение уровня безопасности транспортной инфраструктуры)                   </t>
  </si>
  <si>
    <t>Показатель: доля протяженности автомобильных дорог общего пользования регионального (межмуниципального) значения, соответствующих нормативным требованиям к транспортно- эксплуатационным показателям, в общей протяженности автомобильных дорог общего пользования регионального или межмуниципального значения</t>
  </si>
  <si>
    <t xml:space="preserve">Приложение </t>
  </si>
  <si>
    <t>к постановлению Правительства                                                                             Белгородской области</t>
  </si>
  <si>
    <t xml:space="preserve">от  _______________________ 2024 г.     </t>
  </si>
  <si>
    <t xml:space="preserve"> № ____________</t>
  </si>
  <si>
    <t>II. Паспорт государственной программы Белгородской области «Совершенствование и развитие транспортной системы                                                                                                                                                                                                    и дорожной сети Белгородской области» (далее – государственная программа)</t>
  </si>
  <si>
    <t xml:space="preserve">5. Финансовое обеспечение государственной программы </t>
  </si>
  <si>
    <t>Таблица 1</t>
  </si>
  <si>
    <t>№ п/п</t>
  </si>
  <si>
    <t xml:space="preserve">Наименование государственной программы, структурного элемента государственной программы </t>
  </si>
  <si>
    <t>Объем финансового обеспечения по годам реализации, тыс. рублей</t>
  </si>
  <si>
    <t>2024 год</t>
  </si>
  <si>
    <t>2025 год</t>
  </si>
  <si>
    <t>2026 год</t>
  </si>
  <si>
    <t>2027 год</t>
  </si>
  <si>
    <t>2028 год</t>
  </si>
  <si>
    <t>2029 год</t>
  </si>
  <si>
    <t>2030 год</t>
  </si>
  <si>
    <t>Всего</t>
  </si>
  <si>
    <t>1.</t>
  </si>
  <si>
    <t>Государственная программа Белгородской области «Совершенствование и развитие транспортной системы и дорожной сети Белгородской области»</t>
  </si>
  <si>
    <t>Всего, в том числе:</t>
  </si>
  <si>
    <t>1.1.</t>
  </si>
  <si>
    <t xml:space="preserve">Федеральный бюджет </t>
  </si>
  <si>
    <t>1.2.</t>
  </si>
  <si>
    <t>Областной бюджет</t>
  </si>
  <si>
    <t>1.3.</t>
  </si>
  <si>
    <t>1.4.</t>
  </si>
  <si>
    <t>Общий объем налоговых расходов, предусмотренных в рамках государственной программы (справочно)</t>
  </si>
  <si>
    <t>N 1</t>
  </si>
  <si>
    <t>Региональный проект                                                                             «Региональная и местная дорожная сеть»</t>
  </si>
  <si>
    <t>Бюджет Белгородской области</t>
  </si>
  <si>
    <t>N 2</t>
  </si>
  <si>
    <t>Региональный проект                                                                             «Общесистемные меры развития дорожного хозяйства»</t>
  </si>
  <si>
    <t>2.1.</t>
  </si>
  <si>
    <t>2.2.</t>
  </si>
  <si>
    <t>2.3.</t>
  </si>
  <si>
    <t>N 3</t>
  </si>
  <si>
    <t>Региональный проект                                                                             «Безопасность дорожного движения»</t>
  </si>
  <si>
    <t>3.1.</t>
  </si>
  <si>
    <t>3.2.</t>
  </si>
  <si>
    <t>3.3.</t>
  </si>
  <si>
    <t>N 4</t>
  </si>
  <si>
    <t>Региональный проект «Развитие транспортной инфраструктуры на сельских территориях»</t>
  </si>
  <si>
    <t>4.1.</t>
  </si>
  <si>
    <t>4.2.</t>
  </si>
  <si>
    <t>4.3.</t>
  </si>
  <si>
    <t>Региональный проект «Содействие развитию автомобильных дорог регионального, межмуниципального и местного значения»</t>
  </si>
  <si>
    <t>N 5</t>
  </si>
  <si>
    <t>Ведомственный проект «Увеличение  пропускной способности автомобильных дорог и обеспечение транспортной доступности населенных пунктов                                                                                              и микрорайонов массовой жилищной застройки»</t>
  </si>
  <si>
    <t>5.1.</t>
  </si>
  <si>
    <t>5.2.</t>
  </si>
  <si>
    <t>5.3.</t>
  </si>
  <si>
    <t>N 6</t>
  </si>
  <si>
    <t>Комплекс процессных мероприятий «Обеспечение сохранности существующей сети автомобильных дорог»</t>
  </si>
  <si>
    <t>6.1.</t>
  </si>
  <si>
    <t>6.2.</t>
  </si>
  <si>
    <t>6.3.</t>
  </si>
  <si>
    <t>N 7</t>
  </si>
  <si>
    <t>Комплекс процессных мероприятий «Создание условий для организации транспортного обслуживания населения»</t>
  </si>
  <si>
    <t>7.1.</t>
  </si>
  <si>
    <t>7.2.</t>
  </si>
  <si>
    <t>7.3.</t>
  </si>
  <si>
    <t>N 8</t>
  </si>
  <si>
    <t>Комплекс процессных мероприятий «Исполнение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t>
  </si>
  <si>
    <t>8.1.</t>
  </si>
  <si>
    <t>8.2.</t>
  </si>
  <si>
    <t>8.3.</t>
  </si>
  <si>
    <t xml:space="preserve"> №    п/п</t>
  </si>
  <si>
    <t>Наименование государственной программы, структурного элемента, источник финансового обеспечения</t>
  </si>
  <si>
    <t>Код бюджетной классификации</t>
  </si>
  <si>
    <t>Объем финансового обеспечения по годам, тыс. рублей</t>
  </si>
  <si>
    <t>ГРБС / Рз / Пр / ЦСР / ВР</t>
  </si>
  <si>
    <t>итого</t>
  </si>
  <si>
    <t>Государственная программа «Совершенствование и развитие транспортной системы и дорожной сети Белгородской области»</t>
  </si>
  <si>
    <t xml:space="preserve"> 04 09</t>
  </si>
  <si>
    <t> - межбюджетные трансферты местным бюджетам</t>
  </si>
  <si>
    <t>Региональный проект «Региональная и местная дорожная сеть», входящий в национальный проект</t>
  </si>
  <si>
    <t>10 1 R1</t>
  </si>
  <si>
    <t xml:space="preserve">10 1 R1 R0010 </t>
  </si>
  <si>
    <t xml:space="preserve">10 1 R1 R0020 </t>
  </si>
  <si>
    <t xml:space="preserve">10 1 R1 53940 </t>
  </si>
  <si>
    <t xml:space="preserve">10 1 R1 R0030 </t>
  </si>
  <si>
    <t xml:space="preserve">10 1 И8  </t>
  </si>
  <si>
    <t xml:space="preserve">10 1 И8 54470 </t>
  </si>
  <si>
    <t xml:space="preserve">10 1 И8 9Д140 </t>
  </si>
  <si>
    <t xml:space="preserve">10 1 И8 9Д150 </t>
  </si>
  <si>
    <t xml:space="preserve">10 1 И8 9Д160 </t>
  </si>
  <si>
    <t xml:space="preserve">10 1 И8 9Д170 </t>
  </si>
  <si>
    <t xml:space="preserve"> трансферты из федерального бюджета (справочно)</t>
  </si>
  <si>
    <t>2.</t>
  </si>
  <si>
    <t>Региональный проект «Общесистемные меры развития дорожного хозяйства», входящий в национальный проект</t>
  </si>
  <si>
    <t>10 1 R2 54180</t>
  </si>
  <si>
    <t>10 1 И9 54180</t>
  </si>
  <si>
    <t>3.</t>
  </si>
  <si>
    <t>Региональный проект «Безопасность дорожного движения», входящий в национальный проект</t>
  </si>
  <si>
    <t xml:space="preserve"> 07 09</t>
  </si>
  <si>
    <t>10 1 R3 R0040</t>
  </si>
  <si>
    <t>4.</t>
  </si>
  <si>
    <t>Региональный проект «Развитие транспортной инфраструктуры на сельских территориях», не входящий в национальный проект</t>
  </si>
  <si>
    <t>10 2 01 R3720</t>
  </si>
  <si>
    <t>5.</t>
  </si>
  <si>
    <t>межбюджетные трансферты местным бюджетам</t>
  </si>
  <si>
    <t>межбюджетные трансферты бюджетам территориальных государственных внебюджетных фондов Российской Федерации</t>
  </si>
  <si>
    <t>Бюджеты территориальных государственных внебюджетных фондов (бюджеты территориальных фондов обязательного медицинского страхования)</t>
  </si>
  <si>
    <t>Консолидированные бюджеты муниципальных образований, из них:</t>
  </si>
  <si>
    <t>межбюджетные трансферты бюджету субъекта Российской Федерации</t>
  </si>
  <si>
    <t>Ведомственный проект «Увеличение  пропускной способности автомобильных дорог и обеспечение транспортной доступности населенных пунктов и микрорайонов массовой жилищной застройки»</t>
  </si>
  <si>
    <t xml:space="preserve">10 3 01 </t>
  </si>
  <si>
    <t>10 3 01 40380</t>
  </si>
  <si>
    <t>200; 400; 800</t>
  </si>
  <si>
    <t>10 3 01 72130</t>
  </si>
  <si>
    <t>10 3 01 9Д010</t>
  </si>
  <si>
    <t>10 3 01 9Д020</t>
  </si>
  <si>
    <t>10 3 01 9Д030</t>
  </si>
  <si>
    <t>10 3 01 9Д040</t>
  </si>
  <si>
    <t>10 3 01 9Д050</t>
  </si>
  <si>
    <t>6.</t>
  </si>
  <si>
    <t>Комплекс процессных мероприятий  «Обеспечение сохранности существующей сети автомобильных дорог и безопасности дорожного движения»</t>
  </si>
  <si>
    <t xml:space="preserve">10 4 01 </t>
  </si>
  <si>
    <t>10 4 01 20570</t>
  </si>
  <si>
    <t>200; 800</t>
  </si>
  <si>
    <t>10 4 01 20360</t>
  </si>
  <si>
    <t>200; 600</t>
  </si>
  <si>
    <t>10 4 01 72140</t>
  </si>
  <si>
    <t>10 4 01 20580</t>
  </si>
  <si>
    <t>10 4 01 9Д060</t>
  </si>
  <si>
    <t>10 4 01 9Д070</t>
  </si>
  <si>
    <t>10 4 01 9Д410</t>
  </si>
  <si>
    <t>10 4 01 9Д080</t>
  </si>
  <si>
    <t>10 4 01 9Д090</t>
  </si>
  <si>
    <t>10 4 01 9Д100</t>
  </si>
  <si>
    <t>10 3 01 9Д090</t>
  </si>
  <si>
    <t>10 4 01 9Д110</t>
  </si>
  <si>
    <t>10 4 01 9Д180</t>
  </si>
  <si>
    <t>10 4 01 9Д120</t>
  </si>
  <si>
    <t>10 4 01 9Д130</t>
  </si>
  <si>
    <t>7.</t>
  </si>
  <si>
    <t>04 08, 10 03</t>
  </si>
  <si>
    <t xml:space="preserve">10 4 02 </t>
  </si>
  <si>
    <t>04 08</t>
  </si>
  <si>
    <t>10 4 02 73810</t>
  </si>
  <si>
    <t>10 4 02 73830</t>
  </si>
  <si>
    <t>10 03</t>
  </si>
  <si>
    <t>10 4 02 73850</t>
  </si>
  <si>
    <t>10 4 02 73860</t>
  </si>
  <si>
    <t xml:space="preserve">10 4 02 21340 </t>
  </si>
  <si>
    <t xml:space="preserve">10 4 02 2144Ф </t>
  </si>
  <si>
    <t>10 4 02 97001</t>
  </si>
  <si>
    <t>10 4 02 60420</t>
  </si>
  <si>
    <t>10 4 02 60430</t>
  </si>
  <si>
    <t>10 4 02 60480</t>
  </si>
  <si>
    <t>10 4 02 60440</t>
  </si>
  <si>
    <t>8.</t>
  </si>
  <si>
    <t>04 08, 04 09</t>
  </si>
  <si>
    <t xml:space="preserve">10 4 03 </t>
  </si>
  <si>
    <t>10 4 03 00190</t>
  </si>
  <si>
    <t>100,200,   800</t>
  </si>
  <si>
    <t>04 09</t>
  </si>
  <si>
    <t>10 4 03 00590</t>
  </si>
  <si>
    <t>100,200,   300,800</t>
  </si>
  <si>
    <t>10 4 03 9Д610</t>
  </si>
  <si>
    <t>Министр автомобильных дорог и транспорта Белгородской области</t>
  </si>
  <si>
    <t>С. Евтушенко</t>
  </si>
  <si>
    <t>Наименование показателя</t>
  </si>
  <si>
    <t>Процент</t>
  </si>
  <si>
    <t>Человек</t>
  </si>
  <si>
    <t>Млн пасс.-км</t>
  </si>
  <si>
    <t>Доля автомобильных дорог регионального и межмуниципального значения, соответствующих нормативным требованиям</t>
  </si>
  <si>
    <t>Бюджеты муниципальных образований</t>
  </si>
  <si>
    <t xml:space="preserve">                     II.  Паспорт государственной программы Белгородской области «Совершенствование и развитие транспортной системы                                     и дорожной сети Белгородской области» (далее –  государственная программа)</t>
  </si>
  <si>
    <t>10 4 02 2197Д</t>
  </si>
  <si>
    <t>10 1 И5 R0040</t>
  </si>
  <si>
    <t xml:space="preserve">                                                          Белгородской области</t>
  </si>
  <si>
    <t xml:space="preserve">                                                             к постановлению Правительства  </t>
  </si>
  <si>
    <t xml:space="preserve">                                                                    от  _______________________ 2025 г.     </t>
  </si>
  <si>
    <t xml:space="preserve">                                                           № ____________</t>
  </si>
  <si>
    <t>Вед. Структура</t>
  </si>
  <si>
    <t>биф</t>
  </si>
  <si>
    <t>ФБ</t>
  </si>
  <si>
    <t xml:space="preserve"> + транспорт</t>
  </si>
  <si>
    <t xml:space="preserve"> + биф</t>
  </si>
  <si>
    <t>мои</t>
  </si>
  <si>
    <t xml:space="preserve"> - соц защита</t>
  </si>
  <si>
    <t xml:space="preserve"> + безопасность</t>
  </si>
  <si>
    <t>РБ</t>
  </si>
  <si>
    <t>МБ</t>
  </si>
  <si>
    <t>Внебюдж</t>
  </si>
  <si>
    <t>ВСЕГО                        вед структ</t>
  </si>
  <si>
    <t xml:space="preserve">                                                           Приложение № 1</t>
  </si>
  <si>
    <t>Приложение                                                                                                                                 к паспорту государственной программы Белгородской области «Совершенствование                                                    и развитие транспортной системы и дорожной сети Белгородской области»</t>
  </si>
  <si>
    <t>Сведения о порядке сбора информации и методике расчета показателя государственной программы  Белгородской области</t>
  </si>
  <si>
    <t>Единица измерения</t>
  </si>
  <si>
    <t>Определение показателя</t>
  </si>
  <si>
    <t>Временные характеристики показателя</t>
  </si>
  <si>
    <t>Метод сбора информации, индекс</t>
  </si>
  <si>
    <t>Пункт Федерального плана статистических работ</t>
  </si>
  <si>
    <t xml:space="preserve">Реквизиты акта (при наличии) </t>
  </si>
  <si>
    <t>Срок представления годовой отчетной информации</t>
  </si>
  <si>
    <t>Протяженность автомобильных дорог регионального                                       и межмуниципального значения, соответствующих нормативным требованиям, в общей протяженности автомобильных дорог регионального                                        и межмуниципального значения Белгородской области</t>
  </si>
  <si>
    <t>Показатель рассчитывается               по итогам года</t>
  </si>
  <si>
    <t>где:                                                                                                                        Др - доля автомобильных дорог регионального и межмуниципального значения, соответствующих нормативным требованиям, процент;                                                                                                 Lнт рз - общая протяженность автомобильных дорог общего пользования регионального или межмуниципального значения, соответствующая нормативным требованиям, км;                                                                                                                    Lрз нтф - общая протяженность автомобильных дорог общего пользования регионального или межмуниципального значения, соответствующая нормативным требованиям, переданных в федеральную собственность начиная с 1 января 2018 г., нарастающим итогом                                     на отчетный период, км;                                                                                        Lобщ рз2017 - общая протяженность автомобильных дорог общего пользования регионального или межмуниципального значения                     по состоянию на 31 декабря 2017 г., км</t>
  </si>
  <si>
    <t>Министерство автомобильных дорог и транспорта Белгородской области</t>
  </si>
  <si>
    <t>Не позднее                  1 марта года, следующего               за отчетным годом</t>
  </si>
  <si>
    <t>Доля дорожной сети городских агломераций, находящейся                           в нормативном состоянии</t>
  </si>
  <si>
    <t>Протяженность дорожной сети городских агломераций, соответствующих нормативным требованиям, в общей протяженности дорожной сети городских агломераций</t>
  </si>
  <si>
    <t>Показатель рассчитывается                по итогам года</t>
  </si>
  <si>
    <t>Министерство автомобильных дорог                                и транспорта Белгородской области</t>
  </si>
  <si>
    <t>Не позднее                1 марта года, следующего             за отчетным годом</t>
  </si>
  <si>
    <t>Министерство автомобильных дорог                          и транспорта Белгородской области</t>
  </si>
  <si>
    <t>15 февраля года, следующего                    за отчетным</t>
  </si>
  <si>
    <t xml:space="preserve">                                       ОП=Пат+Пжд,
где: 
ОП - пассажирооборот автомобильным, железнодорожным                                                               (в пригородном сообщении) и авиационным (по субсидируемым маршрутам) транспортом;
Пат - пассажирооборот автомобильным транспортом на территории Белгродской области;
Пжд - пассажирооборот железнодорожным транспортом в пригородном сообщении на территории Белгородской области</t>
  </si>
  <si>
    <t>Приказ Министерства экономического развития   Российской Федерации                                                                                                        от 29 декабря                     2017 года № 887</t>
  </si>
  <si>
    <t>10 февраля года, следующего                       за отчетным</t>
  </si>
  <si>
    <t>4. Структура государственной программы Белгородской области</t>
  </si>
  <si>
    <t>№                                     п/п</t>
  </si>
  <si>
    <t>Задачи структурного элемента</t>
  </si>
  <si>
    <t>Краткое описание ожидаемых эффектов от реализации задачи структурного элемента</t>
  </si>
  <si>
    <t>Связь с показателями</t>
  </si>
  <si>
    <t>Региональный проект «Региональная и местная дорожная сеть», входящий в национальный проект «Безопасные качественные дороги»</t>
  </si>
  <si>
    <t>Куратор: Базаров В.В. – заместитель Губернатора Белгородской области</t>
  </si>
  <si>
    <t>Ответственный за реализацию: Евтушенко С.В. – министр автомобильных дорог и транспорта Белгородской области</t>
  </si>
  <si>
    <r>
      <t xml:space="preserve">Срок реализации: </t>
    </r>
    <r>
      <rPr>
        <sz val="12"/>
        <rFont val="Times New Roman"/>
        <family val="1"/>
        <charset val="204"/>
      </rPr>
      <t>2019* –  2024 годы</t>
    </r>
  </si>
  <si>
    <t xml:space="preserve">  </t>
  </si>
  <si>
    <t>1.1.1.</t>
  </si>
  <si>
    <t xml:space="preserve">Повышено качество дорожной сети, в том числе уличной сети, городских агломераций      </t>
  </si>
  <si>
    <t>В соответствии с программой дорожной деятельности выполнены дорожные работы</t>
  </si>
  <si>
    <t xml:space="preserve">Доля автомобильных дорог регионального                                                             и межмуниципального значения, соответствующих нормативным требованиям.                                                                                     Доля дорожной сети городских агломераций, находящейся                     в нормативном состоянии                                                                                                            </t>
  </si>
  <si>
    <t>1.1.2.</t>
  </si>
  <si>
    <t>Приведены в нормативное состояние/построены искусственные сооружения на автомобильных дорогах регионального                                                       или межмуниципального и местного значения</t>
  </si>
  <si>
    <t>Осуществлены мероприятия по дорожной деятельности                                    в отношении автомобильных дорог общего пользования регионального или межмуниципального, местного значения                                     и искусственных сооружений на них</t>
  </si>
  <si>
    <t xml:space="preserve">Доля автомобильных дорог регионального                                          и межмуниципального значения, соответствующих нормативным требованиям.                                                                                     Доля дорожной сети городских агломераций, находящейся                    в нормативном состоянии                                                                                                            </t>
  </si>
  <si>
    <t>1.1.3.</t>
  </si>
  <si>
    <t>Повышение доли отечественного оборудования (товаров, работ, услуг) в общем объеме закупок</t>
  </si>
  <si>
    <t xml:space="preserve">Заключены контракты (доведены государственные задания учреждениям), предусматривающие закупку отечественного оборудования (товаров, работ, услуг) </t>
  </si>
  <si>
    <t>Доля автомобильных дорог регионального                                        и межмуниципального значения, соответствующих нормативным требованиям</t>
  </si>
  <si>
    <t>Региональный проект «Общесистемные меры развития дорожного хозяйства», входящий в национальный проект «Безопасные качественные дороги»</t>
  </si>
  <si>
    <t>1.2.1.</t>
  </si>
  <si>
    <t>Совершенствование регуляторной политики и применения новых технологий в дорожной отрасли</t>
  </si>
  <si>
    <t>Размещены автоматические пункты весогабаритного контроля транспортных средств.                                                                                                                           Произведена установка стационарных камер фотовидеофиксации нарушений правил дорожного движения.                                                                                                                                               Осуществлено внедрение интеллектуальных транспортных систем, предусматривающих автоматизацию процессов управления дорожным движением в городских  агломерациях</t>
  </si>
  <si>
    <t>Доля дорожной сети городских агломераций, находящейся                          в нормативном состоянии</t>
  </si>
  <si>
    <t>Региональный проект «Безопасность дорожного движения», входящий в национальный проект «Безопасные качественные дороги»</t>
  </si>
  <si>
    <t>Срок реализации: 2019** – 2024 годы</t>
  </si>
  <si>
    <t xml:space="preserve">1.3.1. </t>
  </si>
  <si>
    <t>Повышена безопасность участников дорожного движения</t>
  </si>
  <si>
    <t>Организовано проведение системной работы с использованием ресурсов детско-юношеских объединений различных форм,                                            в том числе посредством проведения слетов, конкурсов, викторин, смотров, соревнований по различным вопросам безопасности движения.                                                                    Осуществлено учебно-методическое                                                                                                           и материально-техническое обеспечение процесса обучения детей основам безопасного поведения на дорогах</t>
  </si>
  <si>
    <t xml:space="preserve">Количество погибших в дорожно-транспортных происшествиях на 10 тысяч транспортных средств                                                                                                                       </t>
  </si>
  <si>
    <t xml:space="preserve">Региональный проект «Региональная и местная дорожная сеть», входящий в национальный проект «Инфраструктура для жизни» </t>
  </si>
  <si>
    <r>
      <t xml:space="preserve">Срок реализации: </t>
    </r>
    <r>
      <rPr>
        <sz val="12"/>
        <rFont val="Times New Roman"/>
        <family val="1"/>
        <charset val="204"/>
      </rPr>
      <t>2025 –  2030 годы</t>
    </r>
  </si>
  <si>
    <t>1.4.1.</t>
  </si>
  <si>
    <t xml:space="preserve">Повышено качество дорожной сети, в том числе доведено                   до нормативного состояния 60 процентов региональных дорог                                                        и 85 процентов дорог крупнейших городских агломераций       </t>
  </si>
  <si>
    <t>Приведены в нормативное состояние автомобильные дороги регионального или межмуниципального, местного значения                                        и искусственные дорожные сооружения на них, а также дорожная сеть городских агломераций</t>
  </si>
  <si>
    <t xml:space="preserve">Доля автомобильных дорог регионального                                                                                                                и межмуниципального значения, соответствующих нормативным требованиям                                                                                   </t>
  </si>
  <si>
    <t xml:space="preserve">    </t>
  </si>
  <si>
    <t>1.4.2.</t>
  </si>
  <si>
    <t>Доведено до нормативного состояния 85 процентов опорной сети,                         в том числе за счет строительства и реконструкции автомобильных дорог и искусственных сооружений</t>
  </si>
  <si>
    <t>Осуществлено строительство и реконструкция автомобильных дорог регионального или межмуниципального, местного значения и искусственных дорожных сооружений на них</t>
  </si>
  <si>
    <t xml:space="preserve">Доля автомобильных дорог, входящих в опорную сеть, соответствующих нормативным требованиям                                                                                                 </t>
  </si>
  <si>
    <t>1.5.</t>
  </si>
  <si>
    <t xml:space="preserve">Региональный проект «Общесистемные меры развития дорожного хозяйства», входящий в национальный проект «Инфраструктура для жизни» </t>
  </si>
  <si>
    <t>1.5.1.</t>
  </si>
  <si>
    <t>Цифровизация дорожной и транспортной отрасли</t>
  </si>
  <si>
    <t>1.6.</t>
  </si>
  <si>
    <t>Региональный проект «Безопасность дорожного движения», входящий в национальный проект «Инфраструктура для жизни»</t>
  </si>
  <si>
    <t>Срок реализации: 2025 – 2030 годы</t>
  </si>
  <si>
    <t xml:space="preserve">1.6.1. </t>
  </si>
  <si>
    <t>Снижена смертность в результате дорожно-транспортных происшествий в полтора раза к 2030 году по сравнению                                                       с показателем 2023 года</t>
  </si>
  <si>
    <t>Созданы условия для вовлечения детей и молодежи                          в деятельность по профилактике дорожно-транспортного травматизма, включая развитие детско-юношеских автошкол, отрядов юных инспекторов движения и прочее.                                                                                      Обеспечена организация и проведение региональных профильных смен по безопасности дорожного движения                                                                   в организациях отдыха детей и их оздоровления.                                                              Организована системная работа с родителями по обучению детей основам правил дорожного движения и привитию                         им навыков безопасного поведения на дорогах, обеспечению безопасности детей при перевозках в транспортных средствах</t>
  </si>
  <si>
    <t>1.7.</t>
  </si>
  <si>
    <t>Срок реализации: 2024 – 2030 годы</t>
  </si>
  <si>
    <t>1.7.1.</t>
  </si>
  <si>
    <t xml:space="preserve">Обеспечение транспортной доступностью объектов, расположенных на сельских территориях, и объектов агропромышленного комплекса                                                                                                   </t>
  </si>
  <si>
    <t>Выполнено строительство (ремонт) автомобильных дорог                 к объектам, расположенным на сельских территориях</t>
  </si>
  <si>
    <t>Доля автомобильных дорог регионального                                                               и межмуниципального значения, соответствующих нормативным требованиям</t>
  </si>
  <si>
    <t>Региональный проект «Содействие развитию автомобильных дорог регионального, межмуниципального и местного значения», не входящий в национальный проект</t>
  </si>
  <si>
    <t>Ответственный за реализацию Евтушенко С.В.- министр автомобильных дорог и транспорта Белгородской области</t>
  </si>
  <si>
    <r>
      <t xml:space="preserve">Срок реализации </t>
    </r>
    <r>
      <rPr>
        <sz val="12"/>
        <rFont val="Times New Roman"/>
        <family val="1"/>
        <charset val="204"/>
      </rPr>
      <t>(2024 - 2030 годы)</t>
    </r>
  </si>
  <si>
    <t>Ремонт автодорог регионального (межмуниципального) значения</t>
  </si>
  <si>
    <t xml:space="preserve"> Прирост протяженности автомобильных дорог общего пользования регионального (межмуниципального) и местного значения, соответствующих нормативным требованиям </t>
  </si>
  <si>
    <t>Ремонт автодорог местного значения</t>
  </si>
  <si>
    <t>1.8.</t>
  </si>
  <si>
    <t>1.8.1.</t>
  </si>
  <si>
    <t xml:space="preserve">Обеспечение автодорогами с твердым покрытием населенных пунктов и микрорайонов массовой жилищной застройки   </t>
  </si>
  <si>
    <t xml:space="preserve">Выполнены мероприятия по строительству (реконструкция) автомобильных дорог и искусственных сооружений на них </t>
  </si>
  <si>
    <t>Доля автомобильных дорог регионального                                                                               и межмуниципального значения, соответствующих нормативным требованиям</t>
  </si>
  <si>
    <t>1.9.</t>
  </si>
  <si>
    <t>Комплекс процессных мероприятий «Обеспечение сохранности существующей сети автомобильных дорог и безопасности дорожного движения»</t>
  </si>
  <si>
    <t>1.9.1.</t>
  </si>
  <si>
    <t xml:space="preserve"> Обеспечение сохранности существующей сети автомобильных дорог и безопасности дорожного движения     </t>
  </si>
  <si>
    <t>Выполнены мероприятия по содержанию, ремонту                              и капитальному ремонту автомобильных дорог регионального значения и исусственных сооружений на них</t>
  </si>
  <si>
    <t>1.10.</t>
  </si>
  <si>
    <t>1.10.1.</t>
  </si>
  <si>
    <t>Создание условий для организации транспортного обслуживания населения</t>
  </si>
  <si>
    <t>Выполнен комплекс мероприятий по организации транспортного обслуживания населения автомобильным              и железнодорожным транспортом</t>
  </si>
  <si>
    <t>Пассажирооборот автомобильным и железнодорожным                                      (в пригородном сообщении) транспортом</t>
  </si>
  <si>
    <t>1.11.</t>
  </si>
  <si>
    <t>Комплекс процессных мероприятий «Исполнение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t>
  </si>
  <si>
    <t xml:space="preserve">1.11.1. </t>
  </si>
  <si>
    <t>Обеспечение деятельности и выполнение функций министерства автомобильных дорог и транспорта Белгородской области</t>
  </si>
  <si>
    <t>Осуществлены закупки товаров, работ и услуг для обеспечения функций министерства автомобильных дорог и транспорта Белгородской области, заключены государственные контракты на выполнение мероприятий в сфере дорожной деятельности                 и пассажирских перевозок</t>
  </si>
  <si>
    <t>Доля автомобильных дорог регионального                                                                                и межмуниципального значения, соответствующих нормативным требованиям.                                                                                            Пассажирооборот автомобильным и железнодорожным                                      (в пригородном сообщении) транспортом</t>
  </si>
  <si>
    <t xml:space="preserve">1.11.2. </t>
  </si>
  <si>
    <t>Обеспечение достижений показателей областных государственных казенных учреждений в сфере дорожной деятельности                                                                 и  пассажирских перевозок</t>
  </si>
  <si>
    <t>*  Реализация регионального проекта до 2024 года осуществлялась в рамках государственной программы Белгородской области «Совершенствование и развитие транспортной системы и дорожной сети Белгородской области», утвержденной постановлением Правительства Белгородской области от 28 октября 2013 года № 440-пп.</t>
  </si>
  <si>
    <t>**  Реализация регионального проекта до 2024 года осуществлялась в рамках государственной программы Белгородской области «Обеспечение безопасности жизнедеятельности населения и территорий Белгородской области», утвержденной постановлением Правительства Белгородской области от 28 октября 2013 года № 442-пп.</t>
  </si>
  <si>
    <t>Куратор: Лоренц А.А. – заместитель Губернатора Белгородской области – руководитель Администрации Губернатора Белгородской области</t>
  </si>
  <si>
    <t>Лоренц А.А.  –  заместитель Губернатора Белгородской области – руководитель Администрации Губернатора Белгородской области</t>
  </si>
  <si>
    <t>Размещены автоматические пункты весогабаритного контроля транспортных средств на автомобильных дорогах регионального или межмуниципального, местного значения.                                                                                                    Установлены стационарные камеры фотовидеофиксации нарушений правил дорожного движения на автомобильных дорогах федерального, регионального или межмуниципального, местного значения.                                                                                     Внедрены интеллектуальные транспортные системы, предусматривающие автоматизацию процессов управления дорожным движением в городских агломерациях, включающих города с населением свыше 300 тысяч человек</t>
  </si>
  <si>
    <t xml:space="preserve">где: 
Да - доля дорожной сети городских агломераций, образованных городами с населением от 100 до 200 тысяч человек, находящаяся в нормативном состоянии, процент;
i - порядковый номер муниципального образования, входящего в состав городской агломерации, образованной городами с населением                         от 100 до 200 тысяч человек;
n - число муниципальных образований, входящих в состав городской агломерации, образованной городами с населением от 100 до 200 тысяч человек;
Lнт фза - общая протяженность автомобильных дорог общего пользования федерального значения, находящихся в нормативном состоянии, включенных в состав дорожной сети городской агломерации, образованной городами с населением от 100 до 200 тысяч человек,               на конец отчетного периода, км;
Lнт рза - общая протяженность автомобильных дорог общего пользования регионального или межмуниципального значения, находящихся в нормативном состоянии, включенных в состав дорожной сети городской агломерации, образованной городами с населением                   от 100 до 200 тысяч человек, на конец отчетного периода, км; 
Lнт мзаi - общая протяженность автомобильных дорог общего пользования местного значения, находящихся в нормативном состоянии, включенных в состав дорожной сети городской агломерации, образованной городами с населением от 100 до 200 тысяч человек,           на конец отчетного периода, км;
</t>
  </si>
  <si>
    <t>Приказ Росавтодора                                                                                                     от 29 ноября              2024 года № 160</t>
  </si>
  <si>
    <t>Приказ Росавтодора                                                                                                     от 29 ноября                2024 года № 160</t>
  </si>
  <si>
    <t xml:space="preserve">Пассажирооборот автомобильным                   и железнодорожным                                      (в пригородном сообщении) транспортом                    </t>
  </si>
  <si>
    <t xml:space="preserve">                                  ТР = (ЧП / ЗТ) * 10000,
где:
ТР - погибшие на 10 тыс. транспортных средств в Белгородской области (в отчетном году), человек;
ЧП - число лиц, погибших в дорожно-транспортных происшествиях          на автомобильных дорогах общего пользования в Белгородской области  (в отчетном году), человек;
ЗТ - количество зарегистрированных транспортных средств                                          в Белгородской области  (по состоянию на конец отчетного года), единица;
10000 - коэффициент перевода полученного значения в условные единицы</t>
  </si>
  <si>
    <t>Показатель «Пассажирооборот автомобильным транспортом» - сведения Белгородстата,
показатель «Пассажирооборот железнодорожным транспортом в пригородном сообщении» - отчетные материалы АО «Пригородная пассажирская компания «Черноземье»»</t>
  </si>
  <si>
    <t xml:space="preserve">Количество погибших                                в дорожно-транспортных происшествиях на 10 тысяч транспортных средств </t>
  </si>
  <si>
    <t>Исключен распоряжением Правительства Российской Федерации от 22 июня              2022 года № 1663-р</t>
  </si>
  <si>
    <t>Исключен распоряжением Правительства Российской Федерации от 22 июня             2022 года № 1663-р</t>
  </si>
  <si>
    <t>«Пассажирооборот» — основной показатель работы транспорта, произведение числа перевезённых пассажиров на расстояние их перевозки,
«автомобильный транспорт» — вид наземного транспорта, осуществляющий перевозку грузов                  и пассажиров по безрельсовым путям,
«железнодорожный транспорт» — вид наземного транспорта, осуществляющий перевозку грузов                    и пассажиров колёсными транспортными средствами по рельсовым путям,
«пригородное железнодорожное сообщение» — перевозка пассажиров железнодорожным транспортом на расстояние до 200 км</t>
  </si>
  <si>
    <t>Периодичность формирования информации                   по показателям «Пассажирооборот автомобильным транспортом»                   и «Пассажирооборот железнодорожным транспортом                     в пригородном сообщении» — годовая.</t>
  </si>
  <si>
    <t>Субъектом официального статистического учета, ответственным                            за формирование                            и предоставление (распространение) официальной статистической информации по показателю «Погибшие на 10 тыс. транспортных средств», является Министерство внутренних дел Российской Федерации</t>
  </si>
  <si>
    <t>Базовое значение                          Lобщ рз2017 составляет 6579,6 км                    (по состоянию                   на 31.12.2017 года)</t>
  </si>
  <si>
    <t>Базовые значения показателей                   (по состоянию                     на 31.12.2017 года) составляют:                                 Lобщ фза 0 км;                                      Lобщ рза - 2462,7 км;                 Lобщ мзаi - 7543,2 км</t>
  </si>
  <si>
    <t>Периодичность формирования информации                  по показателю  «Погибшие                     на 10 тыс. транспортных средств» — годовая.</t>
  </si>
  <si>
    <t>1.24.2 (по показателю «Пассажирооборот автомобильным транспортом»)</t>
  </si>
  <si>
    <t>Lобщ фза - общая протяженность автомобильных дорог общего пользования федерального значения, включенных в состав дорожной сети городской агломерации, образованной городами с населением                           от 100 до 200 тысяч человек, на конец отчетного периода, км;
Lобщ рза - общая протяженность автомобильных дорог регионального или межмуниципального значения, включенных в состав дорожной сети городской агломерации, образованной городами с населением                       от 100 до 200 тысяч человек, на конец отчетного периода, км;
Lобщ мзаi - общая протяженность автомобильных дорог общего пользования местного значения, включенных в состав дорожной сети городской агломерации, образованной городами с населением                   от 100 до 200 тысяч человек, на конец отчетного периода, км.</t>
  </si>
  <si>
    <t>Дорожно-транспортное происшествие — событие, возникшее в процессе движения по дороге транспортного средства и с его участием, при котором погибли или ранены люди, повреждены транспортные средства, сооружения, грузы либо причинен иной материальный ущерб.
Погибший — лицо, являвшееся участником дорожно-транспортного происшествия, умершее на месте дорожно-транспортного происшествия либо от его последствий в течение 30 последующих суток.
Транспортное средство - устройство, предназначенное для перевозки по дорогам людей, грузов                      или оборудования, установленного на нем</t>
  </si>
  <si>
    <t>Статистические сведения для определения значения «ЧП» содержатся в строке 1 графы 2 раздела 1 формы       № ДТП «Сведения                  о дорожно-транспортных происшествиях», утвержденной приказом Росстата от 6 марта              2024 года № 86; статистические сведения для определения значения «ЗТ» содержатся в строке 2 графы 1 раздела 3 формы федерального статистического наблюдения № 1-БДД «Сведения о состоянии безопасности дорожного движения», утвержденной приказом Росстата                 от 7 декабря 2017 года            № 810</t>
  </si>
  <si>
    <t xml:space="preserve">Распоряжение Министерства внутрених дел Российской Федерации                  от 16 июля             2025 года                       № 1/7519                   «Об утверждении методик расчета показателей»  </t>
  </si>
  <si>
    <t>Алгоритм формирования (формула) и методологические                            пояснения к показателю</t>
  </si>
  <si>
    <t>Базовые показатели (используемые                          в формуле)</t>
  </si>
  <si>
    <t>Ответственный                    за сбор данных                     по показателю</t>
  </si>
</sst>
</file>

<file path=xl/styles.xml><?xml version="1.0" encoding="utf-8"?>
<styleSheet xmlns="http://schemas.openxmlformats.org/spreadsheetml/2006/main">
  <numFmts count="2">
    <numFmt numFmtId="164" formatCode="#,##0.0"/>
    <numFmt numFmtId="165" formatCode="0.0"/>
  </numFmts>
  <fonts count="38">
    <font>
      <sz val="11"/>
      <color theme="1"/>
      <name val="Calibri"/>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u/>
      <sz val="11"/>
      <color theme="10"/>
      <name val="Calibri"/>
      <family val="2"/>
      <charset val="1"/>
    </font>
    <font>
      <u/>
      <sz val="11"/>
      <color theme="10"/>
      <name val="Calibri"/>
      <family val="2"/>
      <charset val="204"/>
    </font>
    <font>
      <sz val="11"/>
      <color theme="1"/>
      <name val="Calibri"/>
      <family val="2"/>
      <charset val="1"/>
    </font>
    <font>
      <sz val="10"/>
      <name val="Arial"/>
      <family val="2"/>
      <charset val="204"/>
    </font>
    <font>
      <sz val="12"/>
      <color theme="1"/>
      <name val="Times New Roman"/>
      <family val="1"/>
      <charset val="204"/>
    </font>
    <font>
      <u/>
      <sz val="12"/>
      <color theme="10"/>
      <name val="Times New Roman"/>
      <family val="1"/>
      <charset val="204"/>
    </font>
    <font>
      <b/>
      <sz val="12"/>
      <color theme="1"/>
      <name val="Times New Roman"/>
      <family val="1"/>
      <charset val="204"/>
    </font>
    <font>
      <b/>
      <sz val="13"/>
      <color theme="1"/>
      <name val="Times New Roman"/>
      <family val="1"/>
      <charset val="204"/>
    </font>
    <font>
      <b/>
      <sz val="14"/>
      <color theme="1"/>
      <name val="Times New Roman"/>
      <family val="1"/>
      <charset val="204"/>
    </font>
    <font>
      <sz val="12"/>
      <name val="Times New Roman"/>
      <family val="1"/>
      <charset val="204"/>
    </font>
    <font>
      <b/>
      <sz val="14"/>
      <name val="Times New Roman"/>
      <family val="1"/>
      <charset val="204"/>
    </font>
    <font>
      <b/>
      <sz val="16"/>
      <color theme="1"/>
      <name val="Times New Roman"/>
      <family val="1"/>
      <charset val="204"/>
    </font>
    <font>
      <sz val="12"/>
      <color theme="1"/>
      <name val="Calibri"/>
      <family val="2"/>
      <charset val="204"/>
    </font>
    <font>
      <sz val="12"/>
      <color theme="0"/>
      <name val="Times New Roman"/>
      <family val="1"/>
      <charset val="204"/>
    </font>
    <font>
      <sz val="12"/>
      <color rgb="FFFF0000"/>
      <name val="Times New Roman"/>
      <family val="1"/>
      <charset val="204"/>
    </font>
    <font>
      <b/>
      <sz val="14"/>
      <color theme="0"/>
      <name val="Times New Roman"/>
      <family val="1"/>
      <charset val="204"/>
    </font>
    <font>
      <sz val="11"/>
      <color theme="1"/>
      <name val="Calibri"/>
      <family val="2"/>
      <charset val="204"/>
    </font>
    <font>
      <i/>
      <sz val="12"/>
      <color theme="1"/>
      <name val="Times New Roman"/>
      <family val="1"/>
      <charset val="204"/>
    </font>
    <font>
      <u/>
      <sz val="11"/>
      <color theme="10"/>
      <name val="Calibri"/>
      <family val="2"/>
      <charset val="204"/>
      <scheme val="minor"/>
    </font>
    <font>
      <sz val="12"/>
      <color rgb="FF000000"/>
      <name val="Times New Roman"/>
      <family val="1"/>
      <charset val="204"/>
    </font>
    <font>
      <sz val="11"/>
      <color theme="1"/>
      <name val="Calibri"/>
      <family val="2"/>
      <scheme val="minor"/>
    </font>
    <font>
      <u/>
      <sz val="11"/>
      <color theme="10"/>
      <name val="Calibri"/>
      <family val="2"/>
      <scheme val="minor"/>
    </font>
    <font>
      <sz val="11"/>
      <color theme="1"/>
      <name val="Calibri"/>
      <family val="2"/>
      <charset val="204"/>
    </font>
    <font>
      <sz val="11.5"/>
      <color theme="1"/>
      <name val="Times New Roman"/>
      <family val="1"/>
      <charset val="204"/>
    </font>
    <font>
      <b/>
      <i/>
      <sz val="12"/>
      <color theme="1"/>
      <name val="Times New Roman"/>
      <family val="1"/>
      <charset val="204"/>
    </font>
    <font>
      <sz val="11"/>
      <color theme="1"/>
      <name val="Times New Roman"/>
      <family val="1"/>
      <charset val="204"/>
    </font>
    <font>
      <sz val="12"/>
      <color indexed="64"/>
      <name val="Times New Roman"/>
      <family val="1"/>
      <charset val="204"/>
    </font>
    <font>
      <i/>
      <sz val="11"/>
      <color theme="1"/>
      <name val="Calibri"/>
      <family val="2"/>
      <charset val="204"/>
      <scheme val="minor"/>
    </font>
    <font>
      <b/>
      <sz val="12"/>
      <name val="Times New Roman"/>
      <family val="1"/>
      <charset val="204"/>
    </font>
    <font>
      <b/>
      <sz val="11"/>
      <name val="Times New Roman"/>
      <family val="1"/>
      <charset val="204"/>
    </font>
    <font>
      <sz val="11.8"/>
      <name val="Times New Roman"/>
      <family val="1"/>
      <charset val="204"/>
    </font>
    <font>
      <b/>
      <sz val="12"/>
      <color rgb="FF000000"/>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indexed="64"/>
      </left>
      <right/>
      <top style="thin">
        <color indexed="64"/>
      </top>
      <bottom/>
      <diagonal/>
    </border>
    <border>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right style="thin">
        <color rgb="FF000000"/>
      </right>
      <top style="thin">
        <color auto="1"/>
      </top>
      <bottom style="thin">
        <color indexed="64"/>
      </bottom>
      <diagonal/>
    </border>
    <border>
      <left style="thin">
        <color indexed="64"/>
      </left>
      <right style="thin">
        <color rgb="FF000000"/>
      </right>
      <top style="thin">
        <color auto="1"/>
      </top>
      <bottom style="thin">
        <color indexed="64"/>
      </bottom>
      <diagonal/>
    </border>
    <border>
      <left style="thin">
        <color rgb="FF000000"/>
      </left>
      <right style="thin">
        <color rgb="FF000000"/>
      </right>
      <top/>
      <bottom/>
      <diagonal/>
    </border>
  </borders>
  <cellStyleXfs count="24">
    <xf numFmtId="0" fontId="0" fillId="0" borderId="0"/>
    <xf numFmtId="0" fontId="7" fillId="0" borderId="0" applyBorder="0" applyProtection="0"/>
    <xf numFmtId="0" fontId="6" fillId="0" borderId="0" applyBorder="0" applyProtection="0"/>
    <xf numFmtId="0" fontId="7" fillId="0" borderId="0" applyBorder="0" applyProtection="0"/>
    <xf numFmtId="0" fontId="7" fillId="0" borderId="0" applyBorder="0" applyProtection="0"/>
    <xf numFmtId="0" fontId="8" fillId="0" borderId="0"/>
    <xf numFmtId="0" fontId="22" fillId="0" borderId="0"/>
    <xf numFmtId="0" fontId="22" fillId="0" borderId="0"/>
    <xf numFmtId="0" fontId="22" fillId="0" borderId="0"/>
    <xf numFmtId="0" fontId="9" fillId="0" borderId="0"/>
    <xf numFmtId="0" fontId="5" fillId="0" borderId="0"/>
    <xf numFmtId="0" fontId="24" fillId="0" borderId="0" applyNumberFormat="0" applyFill="0" applyBorder="0" applyAlignment="0" applyProtection="0"/>
    <xf numFmtId="0" fontId="26" fillId="0" borderId="0"/>
    <xf numFmtId="0" fontId="27" fillId="0" borderId="0" applyNumberFormat="0" applyFill="0" applyBorder="0" applyAlignment="0" applyProtection="0"/>
    <xf numFmtId="0" fontId="28" fillId="0" borderId="0"/>
    <xf numFmtId="0" fontId="4" fillId="0" borderId="0"/>
    <xf numFmtId="0" fontId="3" fillId="0" borderId="0"/>
    <xf numFmtId="0" fontId="22" fillId="0" borderId="0"/>
    <xf numFmtId="0" fontId="3" fillId="0" borderId="0"/>
    <xf numFmtId="0" fontId="22" fillId="0" borderId="0"/>
    <xf numFmtId="0" fontId="2" fillId="0" borderId="0"/>
    <xf numFmtId="0" fontId="2" fillId="0" borderId="0"/>
    <xf numFmtId="0" fontId="1" fillId="0" borderId="0"/>
    <xf numFmtId="0" fontId="1" fillId="0" borderId="0"/>
  </cellStyleXfs>
  <cellXfs count="289">
    <xf numFmtId="0" fontId="0" fillId="0" borderId="0" xfId="0"/>
    <xf numFmtId="0" fontId="10" fillId="0" borderId="0" xfId="0" applyFont="1" applyAlignment="1" applyProtection="1">
      <alignment vertical="top" wrapText="1"/>
    </xf>
    <xf numFmtId="0" fontId="11" fillId="0" borderId="0" xfId="1" applyFont="1" applyBorder="1" applyAlignment="1" applyProtection="1">
      <alignment vertical="top" wrapText="1"/>
    </xf>
    <xf numFmtId="0" fontId="12" fillId="0" borderId="0" xfId="0" applyFont="1" applyAlignment="1" applyProtection="1">
      <alignment horizontal="center" wrapText="1"/>
    </xf>
    <xf numFmtId="0" fontId="14" fillId="0" borderId="0" xfId="0" applyFont="1" applyAlignment="1" applyProtection="1">
      <alignment horizontal="center" vertical="center" wrapText="1"/>
    </xf>
    <xf numFmtId="0" fontId="12" fillId="0" borderId="1" xfId="0" applyFont="1" applyBorder="1" applyAlignment="1" applyProtection="1">
      <alignment horizontal="center" vertical="top" wrapText="1"/>
    </xf>
    <xf numFmtId="0" fontId="10" fillId="0" borderId="2" xfId="0" applyFont="1" applyBorder="1" applyAlignment="1" applyProtection="1">
      <alignment vertical="center" wrapText="1"/>
    </xf>
    <xf numFmtId="0" fontId="10" fillId="0" borderId="2" xfId="0" applyFont="1" applyBorder="1" applyAlignment="1" applyProtection="1">
      <alignment horizontal="left" vertical="center" wrapText="1"/>
    </xf>
    <xf numFmtId="0" fontId="10" fillId="0" borderId="2" xfId="0" applyFont="1" applyBorder="1" applyAlignment="1" applyProtection="1">
      <alignment horizontal="center" vertical="center" wrapText="1"/>
    </xf>
    <xf numFmtId="164" fontId="10" fillId="0" borderId="2" xfId="0" applyNumberFormat="1" applyFont="1" applyBorder="1" applyAlignment="1" applyProtection="1">
      <alignment horizontal="center" vertical="top" wrapText="1"/>
    </xf>
    <xf numFmtId="0" fontId="10" fillId="0" borderId="3" xfId="0" applyFont="1" applyBorder="1" applyAlignment="1" applyProtection="1">
      <alignment vertical="center" wrapText="1"/>
    </xf>
    <xf numFmtId="164" fontId="10" fillId="0" borderId="2" xfId="0" applyNumberFormat="1" applyFont="1" applyBorder="1" applyAlignment="1" applyProtection="1">
      <alignment horizontal="center" vertical="center" wrapText="1"/>
    </xf>
    <xf numFmtId="0" fontId="10" fillId="0" borderId="2" xfId="0" applyFont="1" applyBorder="1" applyAlignment="1" applyProtection="1">
      <alignment vertical="top" wrapText="1"/>
    </xf>
    <xf numFmtId="0" fontId="10" fillId="0" borderId="0" xfId="0" applyFont="1" applyAlignment="1" applyProtection="1"/>
    <xf numFmtId="0" fontId="11" fillId="0" borderId="0" xfId="1" applyFont="1" applyBorder="1" applyAlignment="1" applyProtection="1">
      <alignment vertical="top"/>
    </xf>
    <xf numFmtId="0" fontId="14" fillId="0" borderId="0" xfId="0" applyFont="1" applyBorder="1" applyAlignment="1" applyProtection="1">
      <alignment horizontal="center" vertical="center" wrapText="1"/>
    </xf>
    <xf numFmtId="0" fontId="12" fillId="0" borderId="0" xfId="0" applyFont="1" applyBorder="1" applyAlignment="1" applyProtection="1">
      <alignment horizontal="center" vertical="top"/>
    </xf>
    <xf numFmtId="0" fontId="10" fillId="0" borderId="0" xfId="0" applyFont="1" applyBorder="1" applyAlignment="1" applyProtection="1">
      <alignment horizontal="right" vertical="top"/>
    </xf>
    <xf numFmtId="0" fontId="10" fillId="0" borderId="2" xfId="0" applyFont="1" applyBorder="1" applyAlignment="1" applyProtection="1">
      <alignment horizontal="center" vertical="center"/>
    </xf>
    <xf numFmtId="0" fontId="10" fillId="0" borderId="2" xfId="0" applyFont="1" applyBorder="1" applyAlignment="1" applyProtection="1">
      <alignment horizontal="center" vertical="top" wrapText="1"/>
    </xf>
    <xf numFmtId="0" fontId="10" fillId="0" borderId="2" xfId="0" applyFont="1" applyBorder="1" applyAlignment="1" applyProtection="1">
      <alignment vertical="top"/>
    </xf>
    <xf numFmtId="164" fontId="10" fillId="0" borderId="4" xfId="0" applyNumberFormat="1" applyFont="1" applyBorder="1" applyAlignment="1" applyProtection="1">
      <alignment horizontal="center" vertical="center" wrapText="1"/>
    </xf>
    <xf numFmtId="164" fontId="10" fillId="0" borderId="2" xfId="0" applyNumberFormat="1" applyFont="1" applyBorder="1" applyAlignment="1" applyProtection="1">
      <alignment horizontal="center" vertical="center"/>
    </xf>
    <xf numFmtId="0" fontId="10" fillId="0" borderId="4" xfId="0" applyFont="1" applyBorder="1" applyAlignment="1" applyProtection="1">
      <alignment horizontal="center" vertical="top" wrapText="1"/>
    </xf>
    <xf numFmtId="165" fontId="10" fillId="0" borderId="2" xfId="0" applyNumberFormat="1" applyFont="1" applyBorder="1" applyAlignment="1" applyProtection="1">
      <alignment horizontal="center" vertical="top" wrapText="1"/>
    </xf>
    <xf numFmtId="0" fontId="18" fillId="0" borderId="0" xfId="0" applyFont="1" applyAlignment="1" applyProtection="1"/>
    <xf numFmtId="164" fontId="19" fillId="0" borderId="0" xfId="0" applyNumberFormat="1" applyFont="1" applyAlignment="1" applyProtection="1"/>
    <xf numFmtId="164" fontId="12" fillId="0" borderId="2" xfId="0" applyNumberFormat="1" applyFont="1" applyBorder="1" applyAlignment="1" applyProtection="1">
      <alignment horizontal="center" vertical="center" wrapText="1"/>
    </xf>
    <xf numFmtId="0" fontId="10" fillId="0" borderId="0" xfId="0" applyFont="1" applyAlignment="1" applyProtection="1">
      <alignment horizontal="right"/>
    </xf>
    <xf numFmtId="164" fontId="10" fillId="0" borderId="0" xfId="0" applyNumberFormat="1" applyFont="1" applyAlignment="1" applyProtection="1"/>
    <xf numFmtId="164" fontId="20" fillId="0" borderId="0" xfId="0" applyNumberFormat="1" applyFont="1" applyAlignment="1" applyProtection="1"/>
    <xf numFmtId="0" fontId="10" fillId="0" borderId="2" xfId="0" applyFont="1" applyBorder="1" applyAlignment="1" applyProtection="1">
      <alignment horizontal="left" vertical="center" wrapText="1" indent="2"/>
    </xf>
    <xf numFmtId="0" fontId="10" fillId="0" borderId="2" xfId="0" applyFont="1" applyBorder="1" applyAlignment="1" applyProtection="1">
      <alignment horizontal="left" vertical="center" wrapText="1" indent="4"/>
    </xf>
    <xf numFmtId="164" fontId="12" fillId="0" borderId="0" xfId="0" applyNumberFormat="1" applyFont="1" applyAlignment="1" applyProtection="1"/>
    <xf numFmtId="0" fontId="21" fillId="0" borderId="0" xfId="0" applyFont="1" applyAlignment="1" applyProtection="1"/>
    <xf numFmtId="0" fontId="19" fillId="0" borderId="0" xfId="0" applyFont="1" applyAlignment="1" applyProtection="1"/>
    <xf numFmtId="3" fontId="10" fillId="0" borderId="5" xfId="0" applyNumberFormat="1" applyFont="1" applyFill="1" applyBorder="1" applyAlignment="1" applyProtection="1">
      <alignment horizontal="center" vertical="center" wrapText="1"/>
    </xf>
    <xf numFmtId="164" fontId="10" fillId="0"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vertical="top" wrapText="1"/>
    </xf>
    <xf numFmtId="0" fontId="10" fillId="0" borderId="3" xfId="0" applyFont="1" applyFill="1" applyBorder="1" applyAlignment="1" applyProtection="1">
      <alignment vertical="center" wrapText="1"/>
    </xf>
    <xf numFmtId="164" fontId="10" fillId="0" borderId="6" xfId="0" applyNumberFormat="1" applyFont="1" applyFill="1" applyBorder="1" applyAlignment="1" applyProtection="1">
      <alignment horizontal="center" vertical="center" wrapText="1"/>
    </xf>
    <xf numFmtId="164" fontId="10" fillId="0" borderId="4" xfId="0" applyNumberFormat="1" applyFont="1" applyFill="1" applyBorder="1" applyAlignment="1" applyProtection="1">
      <alignment horizontal="center" vertical="center" wrapText="1"/>
    </xf>
    <xf numFmtId="164" fontId="10" fillId="0" borderId="3" xfId="0" applyNumberFormat="1" applyFont="1" applyFill="1" applyBorder="1" applyAlignment="1" applyProtection="1">
      <alignment horizontal="center" vertical="center" wrapText="1"/>
    </xf>
    <xf numFmtId="164" fontId="10" fillId="0" borderId="5" xfId="0" applyNumberFormat="1" applyFont="1" applyFill="1" applyBorder="1" applyAlignment="1" applyProtection="1">
      <alignment horizontal="center" vertical="center" wrapText="1"/>
    </xf>
    <xf numFmtId="0" fontId="15" fillId="0" borderId="2" xfId="6" applyFont="1" applyFill="1" applyBorder="1" applyAlignment="1" applyProtection="1">
      <alignment horizontal="center" vertical="center" wrapText="1"/>
    </xf>
    <xf numFmtId="3" fontId="15" fillId="0" borderId="2" xfId="6" applyNumberFormat="1" applyFont="1" applyFill="1" applyBorder="1" applyAlignment="1" applyProtection="1">
      <alignment horizontal="center" vertical="center"/>
    </xf>
    <xf numFmtId="164" fontId="10" fillId="0" borderId="2" xfId="6" applyNumberFormat="1" applyFont="1" applyFill="1" applyBorder="1" applyAlignment="1" applyProtection="1">
      <alignment horizontal="center" vertical="center" wrapText="1"/>
    </xf>
    <xf numFmtId="4" fontId="10" fillId="0" borderId="2" xfId="6" applyNumberFormat="1" applyFont="1" applyFill="1" applyBorder="1" applyAlignment="1" applyProtection="1">
      <alignment horizontal="center" vertical="center" wrapText="1"/>
    </xf>
    <xf numFmtId="4" fontId="10" fillId="0" borderId="4" xfId="6" applyNumberFormat="1" applyFont="1" applyFill="1" applyBorder="1" applyAlignment="1" applyProtection="1">
      <alignment horizontal="center" vertical="center" wrapText="1"/>
    </xf>
    <xf numFmtId="0" fontId="15" fillId="0" borderId="5" xfId="6" applyFont="1" applyFill="1" applyBorder="1" applyAlignment="1" applyProtection="1">
      <alignment horizontal="center" vertical="center" wrapText="1"/>
    </xf>
    <xf numFmtId="164" fontId="15" fillId="0" borderId="4" xfId="0" applyNumberFormat="1" applyFont="1" applyFill="1" applyBorder="1" applyAlignment="1" applyProtection="1">
      <alignment horizontal="center" vertical="center"/>
    </xf>
    <xf numFmtId="164" fontId="15" fillId="0" borderId="2" xfId="6" applyNumberFormat="1" applyFont="1" applyFill="1" applyBorder="1" applyAlignment="1" applyProtection="1">
      <alignment horizontal="center" vertical="center"/>
    </xf>
    <xf numFmtId="0" fontId="10" fillId="0" borderId="2" xfId="0" applyFont="1" applyFill="1" applyBorder="1" applyAlignment="1" applyProtection="1">
      <alignment vertical="center"/>
    </xf>
    <xf numFmtId="4" fontId="10" fillId="0" borderId="4" xfId="0" applyNumberFormat="1" applyFont="1" applyFill="1" applyBorder="1" applyAlignment="1" applyProtection="1">
      <alignment horizontal="center" vertical="center" wrapText="1"/>
    </xf>
    <xf numFmtId="164" fontId="15" fillId="0" borderId="0" xfId="9" applyNumberFormat="1" applyFont="1" applyFill="1" applyBorder="1" applyAlignment="1" applyProtection="1">
      <alignment horizontal="center" vertical="center"/>
    </xf>
    <xf numFmtId="0" fontId="10" fillId="0" borderId="2" xfId="0" applyFont="1" applyFill="1" applyBorder="1" applyAlignment="1" applyProtection="1">
      <alignment horizontal="left" vertical="center" wrapText="1" indent="2"/>
    </xf>
    <xf numFmtId="0" fontId="10" fillId="0" borderId="2" xfId="0" applyFont="1" applyFill="1" applyBorder="1" applyAlignment="1" applyProtection="1">
      <alignment horizontal="left" vertical="center" wrapText="1" indent="4"/>
    </xf>
    <xf numFmtId="0" fontId="10" fillId="0" borderId="6" xfId="0" applyFont="1" applyFill="1" applyBorder="1" applyAlignment="1" applyProtection="1">
      <alignment horizontal="center" vertical="center" wrapText="1"/>
    </xf>
    <xf numFmtId="0" fontId="10" fillId="0" borderId="3" xfId="0" applyFont="1" applyFill="1" applyBorder="1" applyAlignment="1" applyProtection="1">
      <alignment horizontal="left" vertical="center" wrapText="1" indent="2"/>
    </xf>
    <xf numFmtId="164" fontId="10" fillId="0" borderId="3" xfId="5"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xf>
    <xf numFmtId="0" fontId="10" fillId="0" borderId="5" xfId="0" applyFont="1" applyFill="1" applyBorder="1" applyAlignment="1" applyProtection="1">
      <alignment vertical="center" wrapText="1"/>
    </xf>
    <xf numFmtId="164" fontId="15" fillId="0" borderId="2" xfId="0" applyNumberFormat="1" applyFont="1" applyFill="1" applyBorder="1" applyAlignment="1" applyProtection="1">
      <alignment horizontal="center" vertical="center"/>
    </xf>
    <xf numFmtId="0" fontId="10" fillId="0" borderId="4" xfId="6" applyFont="1" applyFill="1" applyBorder="1" applyAlignment="1" applyProtection="1">
      <alignment vertical="center"/>
    </xf>
    <xf numFmtId="0" fontId="10" fillId="0" borderId="2" xfId="6" applyFont="1" applyFill="1" applyBorder="1" applyAlignment="1" applyProtection="1"/>
    <xf numFmtId="0" fontId="10" fillId="0" borderId="4" xfId="6" applyFont="1" applyFill="1" applyBorder="1" applyAlignment="1" applyProtection="1"/>
    <xf numFmtId="164" fontId="10" fillId="0" borderId="4" xfId="6" applyNumberFormat="1" applyFont="1" applyFill="1" applyBorder="1" applyAlignment="1" applyProtection="1">
      <alignment horizontal="center" vertical="center" wrapText="1"/>
    </xf>
    <xf numFmtId="49" fontId="15" fillId="0" borderId="2" xfId="0" applyNumberFormat="1" applyFont="1" applyFill="1" applyBorder="1" applyAlignment="1" applyProtection="1">
      <alignment horizontal="center" vertical="center" wrapText="1"/>
    </xf>
    <xf numFmtId="164" fontId="10" fillId="0" borderId="8" xfId="0" applyNumberFormat="1" applyFont="1" applyFill="1" applyBorder="1" applyAlignment="1" applyProtection="1">
      <alignment horizontal="center" vertical="center" wrapText="1"/>
    </xf>
    <xf numFmtId="0" fontId="29" fillId="0" borderId="2" xfId="0" applyFont="1" applyFill="1" applyBorder="1" applyAlignment="1" applyProtection="1">
      <alignment horizontal="center" vertical="center" wrapText="1"/>
    </xf>
    <xf numFmtId="0" fontId="10" fillId="0" borderId="2" xfId="0" applyFont="1" applyFill="1" applyBorder="1" applyAlignment="1" applyProtection="1"/>
    <xf numFmtId="0" fontId="15" fillId="0" borderId="2" xfId="0" applyFont="1" applyFill="1" applyBorder="1" applyAlignment="1" applyProtection="1">
      <alignment horizontal="center" vertical="center" wrapText="1"/>
    </xf>
    <xf numFmtId="164" fontId="15" fillId="0" borderId="2" xfId="6" applyNumberFormat="1" applyFont="1" applyBorder="1" applyAlignment="1" applyProtection="1">
      <alignment horizontal="center" vertical="center"/>
    </xf>
    <xf numFmtId="0" fontId="15" fillId="0" borderId="5" xfId="19" applyFont="1" applyBorder="1" applyAlignment="1" applyProtection="1">
      <alignment horizontal="center" vertical="center" wrapText="1"/>
    </xf>
    <xf numFmtId="0" fontId="10" fillId="0" borderId="2" xfId="19" applyFont="1" applyBorder="1" applyAlignment="1" applyProtection="1">
      <alignment horizontal="center" vertical="center" wrapText="1"/>
    </xf>
    <xf numFmtId="0" fontId="10" fillId="2" borderId="2" xfId="0" applyFont="1" applyFill="1" applyBorder="1" applyAlignment="1" applyProtection="1">
      <alignment vertical="center" wrapText="1"/>
    </xf>
    <xf numFmtId="0" fontId="10" fillId="2" borderId="2" xfId="0" applyFont="1" applyFill="1" applyBorder="1" applyAlignment="1" applyProtection="1">
      <alignment horizontal="left" vertical="center" wrapText="1" indent="4"/>
    </xf>
    <xf numFmtId="164" fontId="10" fillId="2" borderId="2" xfId="0"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2" borderId="2" xfId="0" applyFont="1" applyFill="1" applyBorder="1" applyAlignment="1" applyProtection="1">
      <alignment horizontal="center" vertical="center" wrapText="1"/>
    </xf>
    <xf numFmtId="164" fontId="15" fillId="2" borderId="2" xfId="0" applyNumberFormat="1" applyFont="1" applyFill="1" applyBorder="1" applyAlignment="1" applyProtection="1">
      <alignment horizontal="center" vertical="center"/>
    </xf>
    <xf numFmtId="0" fontId="10" fillId="2" borderId="2" xfId="0" applyFont="1" applyFill="1" applyBorder="1" applyAlignment="1" applyProtection="1">
      <alignment vertical="top" wrapText="1"/>
    </xf>
    <xf numFmtId="0" fontId="10" fillId="0" borderId="0" xfId="0" applyFont="1" applyFill="1" applyAlignment="1" applyProtection="1"/>
    <xf numFmtId="164" fontId="30" fillId="0" borderId="5" xfId="0" applyNumberFormat="1" applyFont="1" applyFill="1" applyBorder="1" applyAlignment="1" applyProtection="1">
      <alignment horizontal="center" vertical="center" wrapText="1"/>
    </xf>
    <xf numFmtId="0" fontId="12" fillId="0" borderId="0" xfId="0" applyFont="1" applyAlignment="1" applyProtection="1"/>
    <xf numFmtId="164" fontId="10" fillId="0" borderId="0" xfId="0" applyNumberFormat="1" applyFont="1" applyBorder="1" applyAlignment="1" applyProtection="1"/>
    <xf numFmtId="0" fontId="10" fillId="0" borderId="0" xfId="0" applyFont="1" applyBorder="1" applyAlignment="1" applyProtection="1"/>
    <xf numFmtId="164" fontId="12" fillId="0" borderId="0" xfId="0" applyNumberFormat="1" applyFont="1" applyBorder="1" applyAlignment="1" applyProtection="1">
      <alignment horizontal="center" vertical="center" wrapText="1"/>
    </xf>
    <xf numFmtId="164" fontId="23" fillId="0" borderId="0" xfId="0" applyNumberFormat="1" applyFont="1" applyAlignment="1" applyProtection="1"/>
    <xf numFmtId="0" fontId="12" fillId="0" borderId="0" xfId="0" applyFont="1" applyAlignment="1" applyProtection="1">
      <alignment wrapText="1"/>
    </xf>
    <xf numFmtId="0" fontId="14" fillId="0" borderId="0" xfId="0" applyFont="1" applyFill="1" applyBorder="1" applyAlignment="1" applyProtection="1">
      <alignment horizontal="center" vertical="center" wrapText="1"/>
    </xf>
    <xf numFmtId="0" fontId="12" fillId="0" borderId="0" xfId="0" applyFont="1" applyFill="1" applyBorder="1" applyAlignment="1" applyProtection="1">
      <alignment horizontal="center" vertical="top"/>
    </xf>
    <xf numFmtId="0" fontId="10" fillId="0" borderId="2" xfId="0" applyFont="1" applyFill="1" applyBorder="1" applyAlignment="1" applyProtection="1">
      <alignment horizontal="center" vertical="top" wrapText="1"/>
    </xf>
    <xf numFmtId="164" fontId="10" fillId="0" borderId="2" xfId="0" applyNumberFormat="1" applyFont="1" applyFill="1" applyBorder="1" applyAlignment="1" applyProtection="1">
      <alignment horizontal="center" vertical="top" wrapText="1"/>
    </xf>
    <xf numFmtId="164" fontId="10" fillId="0" borderId="4" xfId="0" applyNumberFormat="1" applyFont="1" applyFill="1" applyBorder="1" applyAlignment="1" applyProtection="1">
      <alignment horizontal="center" vertical="center"/>
    </xf>
    <xf numFmtId="0" fontId="10" fillId="0" borderId="4" xfId="0" applyFont="1" applyFill="1" applyBorder="1" applyAlignment="1" applyProtection="1">
      <alignment horizontal="center" vertical="top" wrapText="1"/>
    </xf>
    <xf numFmtId="165" fontId="10" fillId="0" borderId="2" xfId="0" applyNumberFormat="1" applyFont="1" applyFill="1" applyBorder="1" applyAlignment="1" applyProtection="1">
      <alignment horizontal="center" vertical="top" wrapText="1"/>
    </xf>
    <xf numFmtId="0" fontId="18" fillId="0" borderId="0" xfId="0" applyFont="1" applyFill="1" applyAlignment="1" applyProtection="1"/>
    <xf numFmtId="164" fontId="19" fillId="0" borderId="0" xfId="0" applyNumberFormat="1" applyFont="1" applyFill="1" applyAlignment="1" applyProtection="1"/>
    <xf numFmtId="0" fontId="12" fillId="0" borderId="2" xfId="0" applyFont="1" applyFill="1" applyBorder="1" applyAlignment="1" applyProtection="1">
      <alignment horizontal="center" vertical="center" wrapText="1"/>
    </xf>
    <xf numFmtId="164" fontId="12" fillId="0" borderId="2" xfId="0" applyNumberFormat="1" applyFont="1" applyFill="1" applyBorder="1" applyAlignment="1" applyProtection="1">
      <alignment horizontal="center" vertical="center" wrapText="1"/>
    </xf>
    <xf numFmtId="0" fontId="21" fillId="0" borderId="0" xfId="0" applyFont="1" applyFill="1" applyAlignment="1" applyProtection="1"/>
    <xf numFmtId="0" fontId="19" fillId="0" borderId="0" xfId="0" applyFont="1" applyFill="1" applyAlignment="1" applyProtection="1"/>
    <xf numFmtId="164" fontId="10" fillId="0" borderId="0" xfId="0" applyNumberFormat="1" applyFont="1" applyFill="1" applyAlignment="1" applyProtection="1"/>
    <xf numFmtId="164" fontId="10" fillId="0" borderId="0" xfId="0" applyNumberFormat="1" applyFont="1" applyFill="1" applyBorder="1" applyAlignment="1" applyProtection="1"/>
    <xf numFmtId="164" fontId="12" fillId="0" borderId="0" xfId="0" applyNumberFormat="1" applyFont="1" applyFill="1" applyBorder="1" applyAlignment="1" applyProtection="1">
      <alignment horizontal="center" vertical="center" wrapText="1"/>
    </xf>
    <xf numFmtId="164" fontId="12" fillId="0" borderId="0" xfId="0" applyNumberFormat="1" applyFont="1" applyFill="1" applyAlignment="1" applyProtection="1"/>
    <xf numFmtId="164" fontId="23" fillId="0" borderId="0" xfId="0" applyNumberFormat="1" applyFont="1" applyFill="1" applyAlignment="1" applyProtection="1"/>
    <xf numFmtId="0" fontId="10" fillId="0" borderId="2" xfId="0" applyFont="1" applyBorder="1" applyAlignment="1" applyProtection="1">
      <alignment vertical="center" wrapText="1"/>
    </xf>
    <xf numFmtId="0" fontId="15" fillId="0" borderId="5" xfId="0" applyFont="1" applyFill="1" applyBorder="1" applyAlignment="1" applyProtection="1">
      <alignment horizontal="center" vertical="center" wrapText="1"/>
    </xf>
    <xf numFmtId="0" fontId="15" fillId="0" borderId="7" xfId="0" applyFont="1" applyFill="1" applyBorder="1" applyAlignment="1" applyProtection="1">
      <alignment horizontal="center" vertical="center" wrapText="1"/>
    </xf>
    <xf numFmtId="0" fontId="15" fillId="0" borderId="3" xfId="0" applyFont="1" applyFill="1" applyBorder="1" applyAlignment="1" applyProtection="1">
      <alignment horizontal="center" vertical="center" wrapText="1"/>
    </xf>
    <xf numFmtId="0" fontId="10" fillId="0" borderId="2" xfId="0" applyFont="1" applyFill="1" applyBorder="1" applyAlignment="1" applyProtection="1">
      <alignment vertical="center" wrapText="1"/>
    </xf>
    <xf numFmtId="0" fontId="10" fillId="0" borderId="5" xfId="0" applyFont="1" applyFill="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0" borderId="2" xfId="0" applyFont="1" applyBorder="1" applyAlignment="1" applyProtection="1">
      <alignment horizontal="left" vertical="center" wrapText="1"/>
    </xf>
    <xf numFmtId="0" fontId="10" fillId="0" borderId="2"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164" fontId="15" fillId="0" borderId="4" xfId="6" applyNumberFormat="1" applyFont="1" applyFill="1" applyBorder="1" applyAlignment="1" applyProtection="1">
      <alignment horizontal="center" vertical="center"/>
    </xf>
    <xf numFmtId="4" fontId="15" fillId="0" borderId="4" xfId="6" applyNumberFormat="1" applyFont="1" applyFill="1" applyBorder="1" applyAlignment="1" applyProtection="1">
      <alignment horizontal="center" vertical="center"/>
    </xf>
    <xf numFmtId="164" fontId="10" fillId="2" borderId="4" xfId="0" applyNumberFormat="1" applyFont="1" applyFill="1" applyBorder="1" applyAlignment="1" applyProtection="1">
      <alignment horizontal="center" vertical="center" wrapText="1"/>
    </xf>
    <xf numFmtId="164" fontId="15" fillId="0" borderId="2" xfId="0" applyNumberFormat="1" applyFont="1" applyBorder="1" applyAlignment="1" applyProtection="1">
      <alignment horizontal="center" vertical="center"/>
    </xf>
    <xf numFmtId="164" fontId="15" fillId="0" borderId="4" xfId="0" applyNumberFormat="1" applyFont="1" applyBorder="1" applyAlignment="1" applyProtection="1">
      <alignment horizontal="center" vertical="center"/>
    </xf>
    <xf numFmtId="164" fontId="15" fillId="2" borderId="2" xfId="6" applyNumberFormat="1" applyFont="1" applyFill="1" applyBorder="1" applyAlignment="1" applyProtection="1">
      <alignment horizontal="center" vertical="center"/>
    </xf>
    <xf numFmtId="164" fontId="15" fillId="0" borderId="2" xfId="9" applyNumberFormat="1" applyFont="1" applyFill="1" applyBorder="1" applyAlignment="1" applyProtection="1">
      <alignment horizontal="center" vertical="center"/>
    </xf>
    <xf numFmtId="164" fontId="15" fillId="0" borderId="2" xfId="9" applyNumberFormat="1" applyFont="1" applyBorder="1" applyAlignment="1" applyProtection="1">
      <alignment horizontal="center" vertical="center"/>
    </xf>
    <xf numFmtId="164" fontId="15" fillId="0" borderId="4" xfId="6" applyNumberFormat="1" applyFont="1" applyBorder="1" applyAlignment="1" applyProtection="1">
      <alignment horizontal="center" vertical="center"/>
    </xf>
    <xf numFmtId="164" fontId="10" fillId="0" borderId="2" xfId="6" applyNumberFormat="1" applyFont="1" applyBorder="1" applyAlignment="1" applyProtection="1">
      <alignment horizontal="center" vertical="center" wrapText="1"/>
    </xf>
    <xf numFmtId="164" fontId="10" fillId="0" borderId="4" xfId="6" applyNumberFormat="1" applyFont="1" applyBorder="1" applyAlignment="1" applyProtection="1">
      <alignment horizontal="center" vertical="center" wrapText="1"/>
    </xf>
    <xf numFmtId="164" fontId="15" fillId="2" borderId="4" xfId="6" applyNumberFormat="1" applyFont="1" applyFill="1" applyBorder="1" applyAlignment="1" applyProtection="1">
      <alignment horizontal="center" vertical="center"/>
    </xf>
    <xf numFmtId="4" fontId="15" fillId="0" borderId="2" xfId="6" applyNumberFormat="1" applyFont="1" applyFill="1" applyBorder="1" applyAlignment="1" applyProtection="1">
      <alignment horizontal="center" vertical="center" wrapText="1"/>
    </xf>
    <xf numFmtId="164" fontId="15" fillId="0" borderId="2" xfId="6" applyNumberFormat="1" applyFont="1" applyFill="1" applyBorder="1" applyAlignment="1" applyProtection="1">
      <alignment horizontal="center" vertical="center" wrapText="1"/>
    </xf>
    <xf numFmtId="164" fontId="15" fillId="0" borderId="2" xfId="6" applyNumberFormat="1" applyFont="1" applyBorder="1" applyAlignment="1" applyProtection="1">
      <alignment horizontal="center" vertical="center" wrapText="1"/>
    </xf>
    <xf numFmtId="164" fontId="15" fillId="0" borderId="4" xfId="6" applyNumberFormat="1" applyFont="1" applyBorder="1" applyAlignment="1" applyProtection="1">
      <alignment horizontal="center" vertical="center" wrapText="1"/>
    </xf>
    <xf numFmtId="0" fontId="2" fillId="0" borderId="0" xfId="20"/>
    <xf numFmtId="0" fontId="31" fillId="0" borderId="0" xfId="20" applyFont="1" applyAlignment="1">
      <alignment vertical="center"/>
    </xf>
    <xf numFmtId="0" fontId="12" fillId="0" borderId="2" xfId="20" applyFont="1" applyBorder="1" applyAlignment="1">
      <alignment horizontal="center" vertical="center" wrapText="1"/>
    </xf>
    <xf numFmtId="0" fontId="15" fillId="0" borderId="2" xfId="20" applyFont="1" applyBorder="1" applyAlignment="1">
      <alignment horizontal="center" vertical="top" wrapText="1"/>
    </xf>
    <xf numFmtId="0" fontId="15" fillId="0" borderId="2" xfId="20" applyFont="1" applyBorder="1" applyAlignment="1">
      <alignment horizontal="center" vertical="top"/>
    </xf>
    <xf numFmtId="0" fontId="10" fillId="0" borderId="2" xfId="20" applyFont="1" applyBorder="1" applyAlignment="1">
      <alignment horizontal="center" vertical="top" wrapText="1"/>
    </xf>
    <xf numFmtId="0" fontId="32" fillId="0" borderId="5" xfId="20" applyFont="1" applyBorder="1" applyAlignment="1">
      <alignment vertical="center" wrapText="1"/>
    </xf>
    <xf numFmtId="0" fontId="10" fillId="0" borderId="2" xfId="20" applyFont="1" applyBorder="1" applyAlignment="1">
      <alignment horizontal="center" vertical="top"/>
    </xf>
    <xf numFmtId="0" fontId="25" fillId="0" borderId="2" xfId="20" applyFont="1" applyBorder="1" applyAlignment="1">
      <alignment horizontal="center" vertical="top" wrapText="1"/>
    </xf>
    <xf numFmtId="0" fontId="25" fillId="0" borderId="5" xfId="20" applyFont="1" applyBorder="1" applyAlignment="1">
      <alignment horizontal="center" vertical="top" wrapText="1"/>
    </xf>
    <xf numFmtId="0" fontId="32" fillId="0" borderId="5" xfId="20" applyFont="1" applyBorder="1" applyAlignment="1">
      <alignment vertical="top" wrapText="1"/>
    </xf>
    <xf numFmtId="0" fontId="32" fillId="0" borderId="2" xfId="20" applyFont="1" applyBorder="1" applyAlignment="1">
      <alignment horizontal="center" vertical="top" wrapText="1"/>
    </xf>
    <xf numFmtId="0" fontId="32" fillId="0" borderId="2" xfId="20" applyFont="1" applyBorder="1" applyAlignment="1">
      <alignment vertical="top" wrapText="1"/>
    </xf>
    <xf numFmtId="0" fontId="15" fillId="0" borderId="2" xfId="21" applyFont="1" applyBorder="1" applyAlignment="1">
      <alignment horizontal="center" vertical="top" wrapText="1"/>
    </xf>
    <xf numFmtId="0" fontId="15" fillId="0" borderId="2" xfId="21" applyFont="1" applyBorder="1" applyAlignment="1">
      <alignment horizontal="center" vertical="top"/>
    </xf>
    <xf numFmtId="0" fontId="10" fillId="0" borderId="2" xfId="21" applyFont="1" applyBorder="1" applyAlignment="1">
      <alignment vertical="top" wrapText="1"/>
    </xf>
    <xf numFmtId="0" fontId="33" fillId="0" borderId="0" xfId="20" applyFont="1" applyAlignment="1">
      <alignment wrapText="1"/>
    </xf>
    <xf numFmtId="0" fontId="32" fillId="0" borderId="7" xfId="20" applyNumberFormat="1" applyFont="1" applyBorder="1" applyAlignment="1">
      <alignment vertical="top" wrapText="1"/>
    </xf>
    <xf numFmtId="0" fontId="32" fillId="0" borderId="2" xfId="20" applyNumberFormat="1" applyFont="1" applyBorder="1" applyAlignment="1">
      <alignment vertical="top" wrapText="1"/>
    </xf>
    <xf numFmtId="0" fontId="26" fillId="0" borderId="0" xfId="12"/>
    <xf numFmtId="0" fontId="27" fillId="0" borderId="0" xfId="13" applyAlignment="1">
      <alignment vertical="center"/>
    </xf>
    <xf numFmtId="0" fontId="35" fillId="0" borderId="2" xfId="12" applyFont="1" applyBorder="1" applyAlignment="1">
      <alignment horizontal="center" vertical="center" wrapText="1"/>
    </xf>
    <xf numFmtId="0" fontId="15" fillId="0" borderId="5" xfId="12" applyFont="1" applyBorder="1" applyAlignment="1">
      <alignment horizontal="center" vertical="center" wrapText="1"/>
    </xf>
    <xf numFmtId="0" fontId="10" fillId="3" borderId="2" xfId="22" applyNumberFormat="1" applyFont="1" applyFill="1" applyBorder="1" applyAlignment="1">
      <alignment horizontal="center" vertical="center" wrapText="1"/>
    </xf>
    <xf numFmtId="14" fontId="15" fillId="0" borderId="2" xfId="12" applyNumberFormat="1" applyFont="1" applyBorder="1" applyAlignment="1">
      <alignment horizontal="center" vertical="center" wrapText="1"/>
    </xf>
    <xf numFmtId="0" fontId="15" fillId="0" borderId="2" xfId="12" applyFont="1" applyBorder="1" applyAlignment="1">
      <alignment horizontal="left" vertical="center" wrapText="1"/>
    </xf>
    <xf numFmtId="0" fontId="10" fillId="3" borderId="11" xfId="23" applyNumberFormat="1" applyFont="1" applyFill="1" applyBorder="1" applyAlignment="1">
      <alignment horizontal="left" vertical="center" wrapText="1"/>
    </xf>
    <xf numFmtId="0" fontId="15" fillId="0" borderId="2" xfId="23" applyFont="1" applyBorder="1" applyAlignment="1">
      <alignment horizontal="center" vertical="top" wrapText="1"/>
    </xf>
    <xf numFmtId="0" fontId="10" fillId="3" borderId="2" xfId="23" applyNumberFormat="1" applyFont="1" applyFill="1" applyBorder="1" applyAlignment="1">
      <alignment horizontal="left" vertical="center" wrapText="1"/>
    </xf>
    <xf numFmtId="0" fontId="15" fillId="0" borderId="2" xfId="12" applyFont="1" applyBorder="1" applyAlignment="1">
      <alignment horizontal="center" vertical="center" wrapText="1"/>
    </xf>
    <xf numFmtId="0" fontId="10" fillId="3" borderId="11" xfId="22" applyNumberFormat="1" applyFont="1" applyFill="1" applyBorder="1" applyAlignment="1">
      <alignment horizontal="center" vertical="center" wrapText="1"/>
    </xf>
    <xf numFmtId="49" fontId="15" fillId="0" borderId="2" xfId="12" applyNumberFormat="1" applyFont="1" applyBorder="1" applyAlignment="1">
      <alignment horizontal="center" vertical="center" wrapText="1"/>
    </xf>
    <xf numFmtId="0" fontId="15" fillId="0" borderId="17" xfId="12" applyFont="1" applyBorder="1" applyAlignment="1">
      <alignment horizontal="center" vertical="center" wrapText="1"/>
    </xf>
    <xf numFmtId="0" fontId="15" fillId="0" borderId="17" xfId="12" applyFont="1" applyBorder="1" applyAlignment="1">
      <alignment horizontal="left" vertical="center" wrapText="1"/>
    </xf>
    <xf numFmtId="0" fontId="15" fillId="0" borderId="2" xfId="12" applyFont="1" applyFill="1" applyBorder="1" applyAlignment="1">
      <alignment horizontal="center" vertical="center" wrapText="1"/>
    </xf>
    <xf numFmtId="14" fontId="15" fillId="0" borderId="7" xfId="12" applyNumberFormat="1" applyFont="1" applyBorder="1" applyAlignment="1">
      <alignment horizontal="center" vertical="center" wrapText="1"/>
    </xf>
    <xf numFmtId="0" fontId="15" fillId="0" borderId="7" xfId="12" applyFont="1" applyBorder="1" applyAlignment="1">
      <alignment horizontal="left" vertical="center" wrapText="1"/>
    </xf>
    <xf numFmtId="0" fontId="10" fillId="0" borderId="18" xfId="22" applyNumberFormat="1" applyFont="1" applyFill="1" applyBorder="1" applyAlignment="1">
      <alignment horizontal="left" vertical="center" wrapText="1"/>
    </xf>
    <xf numFmtId="0" fontId="26" fillId="0" borderId="0" xfId="12" applyBorder="1"/>
    <xf numFmtId="0" fontId="10" fillId="0" borderId="2" xfId="22" applyNumberFormat="1" applyFont="1" applyFill="1" applyBorder="1" applyAlignment="1">
      <alignment horizontal="left" vertical="center" wrapText="1"/>
    </xf>
    <xf numFmtId="0" fontId="10" fillId="0" borderId="2" xfId="22" applyNumberFormat="1" applyFont="1" applyFill="1" applyBorder="1" applyAlignment="1">
      <alignment horizontal="center" vertical="center" wrapText="1"/>
    </xf>
    <xf numFmtId="0" fontId="10" fillId="0" borderId="0" xfId="12" applyFont="1" applyBorder="1" applyAlignment="1">
      <alignment horizontal="center" vertical="center"/>
    </xf>
    <xf numFmtId="0" fontId="10" fillId="0" borderId="2" xfId="17" applyNumberFormat="1" applyFont="1" applyBorder="1" applyAlignment="1">
      <alignment vertical="top" wrapText="1"/>
    </xf>
    <xf numFmtId="0" fontId="15" fillId="0" borderId="2" xfId="12" applyFont="1" applyFill="1" applyBorder="1" applyAlignment="1">
      <alignment horizontal="left" vertical="center" wrapText="1"/>
    </xf>
    <xf numFmtId="0" fontId="15" fillId="0" borderId="2" xfId="12" applyFont="1" applyFill="1" applyBorder="1" applyAlignment="1">
      <alignment vertical="center" wrapText="1"/>
    </xf>
    <xf numFmtId="0" fontId="15" fillId="0" borderId="0" xfId="12" applyFont="1" applyFill="1" applyBorder="1" applyAlignment="1">
      <alignment vertical="center" wrapText="1"/>
    </xf>
    <xf numFmtId="0" fontId="15" fillId="0" borderId="2" xfId="12" applyFont="1" applyBorder="1" applyAlignment="1">
      <alignment vertical="center" wrapText="1"/>
    </xf>
    <xf numFmtId="0" fontId="15" fillId="0" borderId="0" xfId="12" applyFont="1" applyBorder="1" applyAlignment="1">
      <alignment vertical="center" wrapText="1"/>
    </xf>
    <xf numFmtId="0" fontId="15" fillId="0" borderId="2" xfId="22" applyFont="1" applyBorder="1" applyAlignment="1">
      <alignment vertical="center" wrapText="1"/>
    </xf>
    <xf numFmtId="0" fontId="15" fillId="0" borderId="2" xfId="22" applyFont="1" applyBorder="1" applyAlignment="1">
      <alignment horizontal="center" vertical="center" wrapText="1"/>
    </xf>
    <xf numFmtId="0" fontId="25" fillId="0" borderId="2" xfId="12" applyFont="1" applyBorder="1" applyAlignment="1">
      <alignment vertical="center" wrapText="1"/>
    </xf>
    <xf numFmtId="0" fontId="15" fillId="0" borderId="7" xfId="22" applyFont="1" applyBorder="1" applyAlignment="1">
      <alignment horizontal="center" vertical="center" wrapText="1"/>
    </xf>
    <xf numFmtId="0" fontId="15" fillId="0" borderId="3" xfId="0" applyFont="1" applyFill="1" applyBorder="1" applyAlignment="1" applyProtection="1">
      <alignment horizontal="center" vertical="center" wrapText="1"/>
    </xf>
    <xf numFmtId="0" fontId="10" fillId="0" borderId="2" xfId="0" applyFont="1" applyFill="1" applyBorder="1" applyAlignment="1" applyProtection="1">
      <alignment vertical="center" wrapText="1"/>
    </xf>
    <xf numFmtId="0" fontId="10" fillId="0" borderId="2" xfId="0" applyFont="1" applyBorder="1" applyAlignment="1" applyProtection="1">
      <alignment horizontal="left" vertical="center" wrapText="1"/>
    </xf>
    <xf numFmtId="0" fontId="15" fillId="0" borderId="2" xfId="0" applyFont="1" applyBorder="1" applyAlignment="1" applyProtection="1">
      <alignment horizontal="left" vertical="top" wrapText="1"/>
    </xf>
    <xf numFmtId="0" fontId="10" fillId="0" borderId="2" xfId="0" applyFont="1" applyBorder="1" applyAlignment="1" applyProtection="1">
      <alignment horizontal="left" vertical="top" wrapText="1"/>
    </xf>
    <xf numFmtId="0" fontId="10" fillId="0" borderId="2" xfId="0" applyFont="1" applyBorder="1" applyAlignment="1" applyProtection="1">
      <alignment vertical="center" wrapText="1"/>
    </xf>
    <xf numFmtId="0" fontId="10" fillId="0" borderId="2" xfId="0" applyFont="1" applyBorder="1" applyAlignment="1" applyProtection="1">
      <alignment vertical="top" wrapText="1"/>
    </xf>
    <xf numFmtId="0" fontId="13" fillId="0" borderId="0" xfId="0" applyFont="1" applyBorder="1" applyAlignment="1" applyProtection="1">
      <alignment horizontal="center" vertical="top" wrapText="1"/>
    </xf>
    <xf numFmtId="0" fontId="13" fillId="0" borderId="0" xfId="0" applyFont="1" applyBorder="1" applyAlignment="1" applyProtection="1">
      <alignment horizontal="center" wrapText="1"/>
    </xf>
    <xf numFmtId="0" fontId="13" fillId="0" borderId="0" xfId="0" applyFont="1" applyBorder="1" applyAlignment="1" applyProtection="1">
      <alignment horizontal="center" vertical="center" wrapText="1"/>
    </xf>
    <xf numFmtId="14" fontId="15" fillId="0" borderId="5" xfId="12" applyNumberFormat="1" applyFont="1" applyBorder="1" applyAlignment="1">
      <alignment horizontal="center" vertical="center" wrapText="1"/>
    </xf>
    <xf numFmtId="14" fontId="15" fillId="0" borderId="3" xfId="12" applyNumberFormat="1" applyFont="1" applyBorder="1" applyAlignment="1">
      <alignment horizontal="center" vertical="center" wrapText="1"/>
    </xf>
    <xf numFmtId="0" fontId="15" fillId="0" borderId="5" xfId="12" applyFont="1" applyBorder="1" applyAlignment="1">
      <alignment horizontal="left" vertical="center" wrapText="1"/>
    </xf>
    <xf numFmtId="0" fontId="15" fillId="0" borderId="3" xfId="12" applyFont="1" applyBorder="1" applyAlignment="1">
      <alignment horizontal="left" vertical="center" wrapText="1"/>
    </xf>
    <xf numFmtId="0" fontId="15" fillId="0" borderId="12" xfId="12" applyFont="1" applyBorder="1" applyAlignment="1">
      <alignment horizontal="left" vertical="center" wrapText="1"/>
    </xf>
    <xf numFmtId="0" fontId="15" fillId="0" borderId="14" xfId="12" applyFont="1" applyBorder="1" applyAlignment="1">
      <alignment horizontal="left" vertical="center" wrapText="1"/>
    </xf>
    <xf numFmtId="0" fontId="15" fillId="0" borderId="13" xfId="12" applyFont="1" applyBorder="1" applyAlignment="1">
      <alignment horizontal="center" vertical="center" wrapText="1"/>
    </xf>
    <xf numFmtId="0" fontId="15" fillId="0" borderId="15" xfId="12" applyFont="1" applyBorder="1" applyAlignment="1">
      <alignment horizontal="center" vertical="center" wrapText="1"/>
    </xf>
    <xf numFmtId="0" fontId="14" fillId="0" borderId="0" xfId="22" applyFont="1" applyBorder="1" applyAlignment="1">
      <alignment horizontal="center" vertical="center" wrapText="1"/>
    </xf>
    <xf numFmtId="0" fontId="34" fillId="0" borderId="2" xfId="12" applyFont="1" applyBorder="1" applyAlignment="1">
      <alignment horizontal="center" vertical="center" wrapText="1"/>
    </xf>
    <xf numFmtId="0" fontId="34" fillId="0" borderId="2" xfId="13" applyFont="1" applyBorder="1" applyAlignment="1">
      <alignment horizontal="center" vertical="center" wrapText="1"/>
    </xf>
    <xf numFmtId="0" fontId="15" fillId="0" borderId="2" xfId="12" applyFont="1" applyBorder="1" applyAlignment="1">
      <alignment horizontal="center" vertical="center" wrapText="1"/>
    </xf>
    <xf numFmtId="0" fontId="34" fillId="0" borderId="2" xfId="13" applyFont="1" applyFill="1" applyBorder="1" applyAlignment="1">
      <alignment horizontal="center" vertical="center" wrapText="1"/>
    </xf>
    <xf numFmtId="0" fontId="15" fillId="0" borderId="2" xfId="12" applyFont="1" applyFill="1" applyBorder="1" applyAlignment="1">
      <alignment horizontal="center" vertical="center" wrapText="1"/>
    </xf>
    <xf numFmtId="0" fontId="36" fillId="0" borderId="9" xfId="12" applyFont="1" applyFill="1" applyBorder="1" applyAlignment="1">
      <alignment horizontal="left" vertical="center" wrapText="1"/>
    </xf>
    <xf numFmtId="0" fontId="36" fillId="0" borderId="10" xfId="12" applyFont="1" applyFill="1" applyBorder="1" applyAlignment="1">
      <alignment horizontal="left" vertical="center" wrapText="1"/>
    </xf>
    <xf numFmtId="0" fontId="15" fillId="0" borderId="9" xfId="12" applyFont="1" applyFill="1" applyBorder="1" applyAlignment="1">
      <alignment horizontal="left" vertical="center" wrapText="1"/>
    </xf>
    <xf numFmtId="0" fontId="15" fillId="0" borderId="10" xfId="12" applyFont="1" applyFill="1" applyBorder="1" applyAlignment="1">
      <alignment horizontal="left" vertical="center" wrapText="1"/>
    </xf>
    <xf numFmtId="0" fontId="15" fillId="0" borderId="5" xfId="12" applyFont="1" applyFill="1" applyBorder="1" applyAlignment="1">
      <alignment horizontal="left" vertical="center" wrapText="1"/>
    </xf>
    <xf numFmtId="0" fontId="15" fillId="0" borderId="3" xfId="12" applyFont="1" applyFill="1" applyBorder="1" applyAlignment="1">
      <alignment horizontal="left" vertical="center" wrapText="1"/>
    </xf>
    <xf numFmtId="0" fontId="15" fillId="0" borderId="12" xfId="12" applyFont="1" applyFill="1" applyBorder="1" applyAlignment="1">
      <alignment horizontal="left" vertical="center" wrapText="1"/>
    </xf>
    <xf numFmtId="0" fontId="15" fillId="0" borderId="14" xfId="12" applyFont="1" applyFill="1" applyBorder="1" applyAlignment="1">
      <alignment horizontal="left" vertical="center" wrapText="1"/>
    </xf>
    <xf numFmtId="0" fontId="15" fillId="0" borderId="13" xfId="12" applyFont="1" applyFill="1" applyBorder="1" applyAlignment="1">
      <alignment horizontal="center" vertical="center" wrapText="1"/>
    </xf>
    <xf numFmtId="0" fontId="15" fillId="0" borderId="15" xfId="12" applyFont="1" applyFill="1" applyBorder="1" applyAlignment="1">
      <alignment horizontal="center" vertical="center" wrapText="1"/>
    </xf>
    <xf numFmtId="49" fontId="15" fillId="0" borderId="2" xfId="12" applyNumberFormat="1" applyFont="1" applyBorder="1" applyAlignment="1">
      <alignment horizontal="center" vertical="center" wrapText="1"/>
    </xf>
    <xf numFmtId="0" fontId="15" fillId="0" borderId="4" xfId="12" applyFont="1" applyFill="1" applyBorder="1" applyAlignment="1">
      <alignment horizontal="left" vertical="center" wrapText="1"/>
    </xf>
    <xf numFmtId="0" fontId="15" fillId="0" borderId="16" xfId="12" applyFont="1" applyFill="1" applyBorder="1" applyAlignment="1">
      <alignment horizontal="left" vertical="center" wrapText="1"/>
    </xf>
    <xf numFmtId="0" fontId="15" fillId="0" borderId="5" xfId="12" applyFont="1" applyBorder="1" applyAlignment="1">
      <alignment horizontal="center" vertical="center" wrapText="1"/>
    </xf>
    <xf numFmtId="0" fontId="15" fillId="0" borderId="3" xfId="12" applyFont="1" applyBorder="1" applyAlignment="1">
      <alignment horizontal="center" vertical="center" wrapText="1"/>
    </xf>
    <xf numFmtId="0" fontId="34" fillId="0" borderId="4" xfId="13" applyFont="1" applyFill="1" applyBorder="1" applyAlignment="1">
      <alignment horizontal="center" vertical="center" wrapText="1"/>
    </xf>
    <xf numFmtId="0" fontId="34" fillId="0" borderId="8" xfId="13" applyFont="1" applyFill="1" applyBorder="1" applyAlignment="1">
      <alignment horizontal="center" vertical="center" wrapText="1"/>
    </xf>
    <xf numFmtId="0" fontId="34" fillId="0" borderId="6" xfId="13" applyFont="1" applyFill="1" applyBorder="1" applyAlignment="1">
      <alignment horizontal="center" vertical="center" wrapText="1"/>
    </xf>
    <xf numFmtId="0" fontId="15" fillId="0" borderId="4" xfId="12" applyFont="1" applyFill="1" applyBorder="1" applyAlignment="1">
      <alignment horizontal="center" vertical="center" wrapText="1"/>
    </xf>
    <xf numFmtId="0" fontId="15" fillId="0" borderId="8" xfId="12" applyFont="1" applyFill="1" applyBorder="1" applyAlignment="1">
      <alignment horizontal="center" vertical="center" wrapText="1"/>
    </xf>
    <xf numFmtId="0" fontId="15" fillId="0" borderId="6" xfId="12" applyFont="1" applyFill="1" applyBorder="1" applyAlignment="1">
      <alignment horizontal="center" vertical="center" wrapText="1"/>
    </xf>
    <xf numFmtId="0" fontId="15" fillId="0" borderId="2" xfId="12" applyFont="1" applyFill="1" applyBorder="1" applyAlignment="1">
      <alignment horizontal="left" vertical="center" wrapText="1"/>
    </xf>
    <xf numFmtId="49" fontId="15" fillId="0" borderId="5" xfId="12" applyNumberFormat="1" applyFont="1" applyBorder="1" applyAlignment="1">
      <alignment horizontal="center" vertical="center" wrapText="1"/>
    </xf>
    <xf numFmtId="49" fontId="15" fillId="0" borderId="3" xfId="12" applyNumberFormat="1" applyFont="1" applyBorder="1" applyAlignment="1">
      <alignment horizontal="center" vertical="center" wrapText="1"/>
    </xf>
    <xf numFmtId="0" fontId="37" fillId="0" borderId="2" xfId="12" applyFont="1" applyBorder="1" applyAlignment="1">
      <alignment horizontal="center" vertical="center" wrapText="1"/>
    </xf>
    <xf numFmtId="0" fontId="37" fillId="0" borderId="4" xfId="12" applyFont="1" applyBorder="1" applyAlignment="1">
      <alignment horizontal="center" vertical="center" wrapText="1"/>
    </xf>
    <xf numFmtId="0" fontId="37" fillId="0" borderId="8" xfId="12" applyFont="1" applyBorder="1" applyAlignment="1">
      <alignment horizontal="center" vertical="center" wrapText="1"/>
    </xf>
    <xf numFmtId="0" fontId="37" fillId="0" borderId="6" xfId="12" applyFont="1" applyBorder="1" applyAlignment="1">
      <alignment horizontal="center" vertical="center" wrapText="1"/>
    </xf>
    <xf numFmtId="0" fontId="10" fillId="0" borderId="2" xfId="12" applyFont="1" applyFill="1" applyBorder="1" applyAlignment="1">
      <alignment horizontal="center" vertical="center"/>
    </xf>
    <xf numFmtId="0" fontId="37" fillId="0" borderId="2" xfId="12" applyFont="1" applyFill="1" applyBorder="1" applyAlignment="1">
      <alignment horizontal="center" vertical="center" wrapText="1"/>
    </xf>
    <xf numFmtId="0" fontId="37" fillId="0" borderId="2" xfId="12" applyFont="1" applyBorder="1" applyAlignment="1">
      <alignment horizontal="center" vertical="center"/>
    </xf>
    <xf numFmtId="0" fontId="10" fillId="0" borderId="0" xfId="12" applyFont="1" applyAlignment="1">
      <alignment horizontal="left" vertical="center" wrapText="1"/>
    </xf>
    <xf numFmtId="0" fontId="12" fillId="0" borderId="2" xfId="0" applyFont="1" applyFill="1" applyBorder="1" applyAlignment="1" applyProtection="1">
      <alignment horizontal="left" vertical="center" wrapText="1"/>
    </xf>
    <xf numFmtId="0" fontId="10" fillId="0" borderId="2" xfId="0" applyFont="1" applyFill="1" applyBorder="1" applyAlignment="1" applyProtection="1">
      <alignment horizontal="left" vertical="center" wrapText="1"/>
    </xf>
    <xf numFmtId="0" fontId="12" fillId="0" borderId="5" xfId="0" applyFont="1" applyFill="1" applyBorder="1" applyAlignment="1" applyProtection="1">
      <alignment horizontal="center" vertical="top" wrapText="1"/>
    </xf>
    <xf numFmtId="0" fontId="12" fillId="0" borderId="7" xfId="0" applyFont="1" applyFill="1" applyBorder="1" applyAlignment="1" applyProtection="1">
      <alignment horizontal="center" vertical="top" wrapText="1"/>
    </xf>
    <xf numFmtId="0" fontId="12" fillId="0" borderId="3" xfId="0" applyFont="1" applyFill="1" applyBorder="1" applyAlignment="1" applyProtection="1">
      <alignment horizontal="center" vertical="top" wrapText="1"/>
    </xf>
    <xf numFmtId="0" fontId="12" fillId="0" borderId="5" xfId="0" applyFont="1" applyFill="1" applyBorder="1" applyAlignment="1" applyProtection="1">
      <alignment horizontal="center" vertical="top"/>
    </xf>
    <xf numFmtId="0" fontId="12" fillId="0" borderId="7" xfId="0" applyFont="1" applyFill="1" applyBorder="1" applyAlignment="1" applyProtection="1">
      <alignment horizontal="center" vertical="top"/>
    </xf>
    <xf numFmtId="0" fontId="12" fillId="0" borderId="3" xfId="0" applyFont="1" applyFill="1" applyBorder="1" applyAlignment="1" applyProtection="1">
      <alignment horizontal="center" vertical="top"/>
    </xf>
    <xf numFmtId="0" fontId="10" fillId="0" borderId="2" xfId="0" applyFont="1" applyFill="1" applyBorder="1" applyAlignment="1" applyProtection="1">
      <alignment vertical="center" wrapText="1"/>
    </xf>
    <xf numFmtId="0" fontId="15" fillId="0" borderId="2" xfId="0" applyFont="1" applyFill="1" applyBorder="1" applyAlignment="1" applyProtection="1">
      <alignment horizontal="left" vertical="center" wrapText="1"/>
    </xf>
    <xf numFmtId="0" fontId="10" fillId="0" borderId="5" xfId="0" applyFont="1" applyFill="1" applyBorder="1" applyAlignment="1" applyProtection="1">
      <alignment horizontal="left" vertical="center" wrapText="1"/>
    </xf>
    <xf numFmtId="0" fontId="16" fillId="0" borderId="0" xfId="0" applyFont="1" applyBorder="1" applyAlignment="1" applyProtection="1">
      <alignment horizontal="center"/>
    </xf>
    <xf numFmtId="0" fontId="16" fillId="0" borderId="0" xfId="0" applyFont="1" applyBorder="1" applyAlignment="1" applyProtection="1">
      <alignment horizontal="center" vertical="center" wrapText="1"/>
    </xf>
    <xf numFmtId="0" fontId="14" fillId="0" borderId="0" xfId="0" applyFont="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7" fillId="0" borderId="0" xfId="0" applyFont="1" applyBorder="1" applyAlignment="1" applyProtection="1">
      <alignment horizontal="center" vertical="top"/>
    </xf>
    <xf numFmtId="0" fontId="10" fillId="0" borderId="2" xfId="0" applyFont="1" applyBorder="1" applyAlignment="1" applyProtection="1">
      <alignment horizontal="center" vertical="center" wrapText="1"/>
    </xf>
    <xf numFmtId="0" fontId="10" fillId="0" borderId="2" xfId="0" applyFont="1" applyBorder="1" applyAlignment="1" applyProtection="1">
      <alignment horizontal="center" vertical="center"/>
    </xf>
    <xf numFmtId="0" fontId="10" fillId="0" borderId="2" xfId="0" applyFont="1" applyBorder="1" applyAlignment="1" applyProtection="1">
      <alignment vertical="top"/>
    </xf>
    <xf numFmtId="0" fontId="15" fillId="0" borderId="5" xfId="0" applyFont="1" applyFill="1" applyBorder="1" applyAlignment="1" applyProtection="1">
      <alignment horizontal="left" vertical="center" wrapText="1"/>
    </xf>
    <xf numFmtId="0" fontId="15" fillId="0" borderId="7" xfId="0" applyFont="1" applyFill="1" applyBorder="1" applyAlignment="1" applyProtection="1">
      <alignment horizontal="left" vertical="center" wrapText="1"/>
    </xf>
    <xf numFmtId="0" fontId="15" fillId="0" borderId="3" xfId="0" applyFont="1" applyFill="1" applyBorder="1" applyAlignment="1" applyProtection="1">
      <alignment horizontal="left" vertical="center" wrapText="1"/>
    </xf>
    <xf numFmtId="0" fontId="15" fillId="0" borderId="7" xfId="0" applyFont="1" applyFill="1" applyBorder="1" applyAlignment="1" applyProtection="1">
      <alignment horizontal="center" vertical="center" wrapText="1"/>
    </xf>
    <xf numFmtId="0" fontId="15" fillId="0" borderId="3" xfId="0" applyFont="1" applyFill="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10" fillId="0" borderId="3" xfId="0" applyFont="1" applyBorder="1" applyAlignment="1" applyProtection="1">
      <alignment horizontal="center" vertical="center" wrapText="1"/>
    </xf>
    <xf numFmtId="0" fontId="12" fillId="0" borderId="2" xfId="0" applyFont="1" applyBorder="1" applyAlignment="1" applyProtection="1">
      <alignment horizontal="left" vertical="center" wrapText="1"/>
    </xf>
    <xf numFmtId="0" fontId="10" fillId="0" borderId="2" xfId="0" applyFont="1" applyFill="1" applyBorder="1" applyAlignment="1" applyProtection="1">
      <alignment horizontal="center" vertical="center" wrapText="1"/>
    </xf>
    <xf numFmtId="0" fontId="10" fillId="0" borderId="3" xfId="0" applyFont="1" applyFill="1" applyBorder="1" applyAlignment="1" applyProtection="1">
      <alignment horizontal="left" vertical="center" wrapText="1"/>
    </xf>
    <xf numFmtId="0" fontId="10" fillId="0" borderId="5" xfId="0" applyFont="1" applyFill="1" applyBorder="1" applyAlignment="1" applyProtection="1">
      <alignment horizontal="center" vertical="center" wrapText="1"/>
    </xf>
    <xf numFmtId="0" fontId="10" fillId="0" borderId="7"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5" xfId="20" applyFont="1" applyBorder="1" applyAlignment="1">
      <alignment horizontal="center" vertical="top" wrapText="1"/>
    </xf>
    <xf numFmtId="0" fontId="10" fillId="0" borderId="3" xfId="20" applyFont="1" applyBorder="1" applyAlignment="1">
      <alignment horizontal="center" vertical="top" wrapText="1"/>
    </xf>
    <xf numFmtId="0" fontId="12" fillId="0" borderId="0" xfId="20" applyFont="1" applyAlignment="1">
      <alignment horizontal="center" vertical="top" wrapText="1"/>
    </xf>
    <xf numFmtId="0" fontId="14" fillId="0" borderId="0" xfId="20" applyFont="1" applyAlignment="1">
      <alignment horizontal="center" vertical="center"/>
    </xf>
    <xf numFmtId="0" fontId="15" fillId="0" borderId="5" xfId="20" applyFont="1" applyBorder="1" applyAlignment="1">
      <alignment horizontal="center" vertical="top" wrapText="1"/>
    </xf>
    <xf numFmtId="0" fontId="15" fillId="0" borderId="3" xfId="20" applyFont="1" applyBorder="1" applyAlignment="1">
      <alignment horizontal="center" vertical="top" wrapText="1"/>
    </xf>
    <xf numFmtId="0" fontId="25" fillId="0" borderId="5" xfId="20" applyFont="1" applyBorder="1" applyAlignment="1">
      <alignment horizontal="center" vertical="top" wrapText="1"/>
    </xf>
    <xf numFmtId="0" fontId="25" fillId="0" borderId="3" xfId="20" applyFont="1" applyBorder="1" applyAlignment="1">
      <alignment horizontal="center" vertical="top" wrapText="1"/>
    </xf>
    <xf numFmtId="0" fontId="15" fillId="0" borderId="5" xfId="20" applyFont="1" applyBorder="1" applyAlignment="1">
      <alignment horizontal="center" vertical="top"/>
    </xf>
    <xf numFmtId="0" fontId="15" fillId="0" borderId="3" xfId="20" applyFont="1" applyBorder="1" applyAlignment="1">
      <alignment horizontal="center" vertical="top"/>
    </xf>
    <xf numFmtId="0" fontId="10" fillId="0" borderId="5" xfId="20" applyFont="1" applyBorder="1" applyAlignment="1">
      <alignment horizontal="center" vertical="top"/>
    </xf>
    <xf numFmtId="0" fontId="10" fillId="0" borderId="3" xfId="20" applyFont="1" applyBorder="1" applyAlignment="1">
      <alignment horizontal="center" vertical="top"/>
    </xf>
    <xf numFmtId="49" fontId="15" fillId="0" borderId="3" xfId="0" applyNumberFormat="1" applyFont="1" applyFill="1" applyBorder="1" applyAlignment="1" applyProtection="1">
      <alignment horizontal="center" vertical="center" wrapText="1"/>
    </xf>
    <xf numFmtId="164" fontId="10" fillId="0" borderId="3" xfId="6" applyNumberFormat="1" applyFont="1" applyFill="1" applyBorder="1" applyAlignment="1" applyProtection="1">
      <alignment horizontal="center" vertical="center" wrapText="1"/>
    </xf>
  </cellXfs>
  <cellStyles count="24">
    <cellStyle name="Гиперссылка" xfId="1" builtinId="8"/>
    <cellStyle name="Гиперссылка 2" xfId="2"/>
    <cellStyle name="Гиперссылка 2 2" xfId="3"/>
    <cellStyle name="Гиперссылка 2 3" xfId="4"/>
    <cellStyle name="Гиперссылка 2 4" xfId="13"/>
    <cellStyle name="Гиперссылка 3" xfId="11"/>
    <cellStyle name="Обычный" xfId="0" builtinId="0"/>
    <cellStyle name="Обычный 12 2" xfId="19"/>
    <cellStyle name="Обычный 2" xfId="5"/>
    <cellStyle name="Обычный 2 2" xfId="6"/>
    <cellStyle name="Обычный 2 3" xfId="7"/>
    <cellStyle name="Обычный 2 4" xfId="12"/>
    <cellStyle name="Обычный 20" xfId="14"/>
    <cellStyle name="Обычный 20 2" xfId="17"/>
    <cellStyle name="Обычный 3" xfId="8"/>
    <cellStyle name="Обычный 3 2" xfId="21"/>
    <cellStyle name="Обычный 4" xfId="10"/>
    <cellStyle name="Обычный 4 2" xfId="16"/>
    <cellStyle name="Обычный 4 2 2" xfId="22"/>
    <cellStyle name="Обычный 5" xfId="15"/>
    <cellStyle name="Обычный 5 2" xfId="18"/>
    <cellStyle name="Обычный 5 2 2" xfId="23"/>
    <cellStyle name="Обычный 6" xfId="20"/>
    <cellStyle name="Стиль 1" xfId="9"/>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1105574</xdr:colOff>
      <xdr:row>6</xdr:row>
      <xdr:rowOff>38553</xdr:rowOff>
    </xdr:from>
    <xdr:to>
      <xdr:col>5</xdr:col>
      <xdr:colOff>3559962</xdr:colOff>
      <xdr:row>6</xdr:row>
      <xdr:rowOff>590211</xdr:rowOff>
    </xdr:to>
    <xdr:pic>
      <xdr:nvPicPr>
        <xdr:cNvPr id="2" name="Консультант Плюс"/>
        <xdr:cNvPicPr preferRelativeResize="0"/>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7411124" y="3400878"/>
          <a:ext cx="2454388" cy="551658"/>
        </a:xfrm>
        <a:prstGeom prst="rect">
          <a:avLst/>
        </a:prstGeom>
        <a:noFill/>
        <a:ln>
          <a:noFill/>
        </a:ln>
      </xdr:spPr>
    </xdr:pic>
    <xdr:clientData fLocksWithSheet="0"/>
  </xdr:twoCellAnchor>
  <xdr:twoCellAnchor editAs="oneCell">
    <xdr:from>
      <xdr:col>5</xdr:col>
      <xdr:colOff>394607</xdr:colOff>
      <xdr:row>7</xdr:row>
      <xdr:rowOff>119064</xdr:rowOff>
    </xdr:from>
    <xdr:to>
      <xdr:col>5</xdr:col>
      <xdr:colOff>4109357</xdr:colOff>
      <xdr:row>7</xdr:row>
      <xdr:rowOff>768279</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 xmlns:a14="http://schemas.microsoft.com/office/drawing/2010/main" val="0"/>
            </a:ext>
          </a:extLst>
        </a:blip>
        <a:stretch>
          <a:fillRect/>
        </a:stretch>
      </xdr:blipFill>
      <xdr:spPr>
        <a:xfrm>
          <a:off x="6700157" y="7834314"/>
          <a:ext cx="3714750" cy="6492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5.%20&#1092;&#1080;&#1085;&#1072;&#1085;&#1089;&#1080;&#1088;&#1086;&#1074;%2026.11.2024%20&#1091;&#1090;&#1086;&#109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3;&#1054;&#1042;&#1040;&#1071;%20&#1043;&#1055;%20&#1074;&#1085;&#1077;&#1089;&#1077;&#1085;&#1077;&#1085;&#1080;&#1077;%20&#1080;&#1079;&#1084;&#1077;&#1085;&#1077;&#1085;&#1080;&#1081;%20&#1074;%20&#8470;%20730-&#1087;&#1087;/&#1053;&#1086;&#1074;&#1086;&#1077;%20&#1087;&#1086;&#1089;&#1090;&#1072;&#1085;&#1086;&#1074;&#1083;&#1077;&#1085;&#1080;&#1077;%20&#1084;&#1072;&#1088;&#1090;%20-%20&#1072;&#1087;&#1088;&#1077;&#1083;&#1100;%202024%20&#1075;&#1086;&#1076;%20-%20&#1074;%20&#1087;&#1088;&#1086;&#1090;&#1086;&#1082;&#1086;&#1083;&#1100;&#1085;&#1099;&#1081;%20(&#8470;%20173-&#1087;&#1087;%20&#1086;&#1090;%2029.04.2024)/2.%20&#1043;&#1054;&#1057;&#1055;&#1056;&#1054;&#1043;&#1056;&#1040;&#1052;&#1052;&#1040;%20&#1059;&#1058;&#1054;&#1063;%20(&#1089;&#1090;&#1088;%207-13)%20-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5. финансиров 26.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2. Показатели ГП УТОЧ"/>
      <sheetName val="3. Показатели ГП_по месяцам"/>
      <sheetName val="5. Финансовое обеспечение ГП"/>
    </sheetNames>
    <sheetDataSet>
      <sheetData sheetId="0"/>
      <sheetData sheetId="1"/>
      <sheetData sheetId="2">
        <row r="56">
          <cell r="H56">
            <v>13127435.835999999</v>
          </cell>
          <cell r="I56">
            <v>15532607.199999999</v>
          </cell>
          <cell r="J56">
            <v>16011444.699999999</v>
          </cell>
          <cell r="K56">
            <v>16128852.992000001</v>
          </cell>
          <cell r="L56">
            <v>16850008.367679998</v>
          </cell>
          <cell r="M56">
            <v>17855401.4383872</v>
          </cell>
          <cell r="N56">
            <v>18202391.811922699</v>
          </cell>
          <cell r="O56">
            <v>113708142.34599</v>
          </cell>
        </row>
      </sheetData>
    </sheetDataSet>
  </externalBook>
</externalLink>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00"/>
  </sheetPr>
  <dimension ref="A1:I38"/>
  <sheetViews>
    <sheetView view="pageBreakPreview" topLeftCell="A11" zoomScale="80" zoomScalePageLayoutView="80" workbookViewId="0">
      <selection activeCell="B11" sqref="B11:C11"/>
    </sheetView>
  </sheetViews>
  <sheetFormatPr defaultColWidth="9.140625" defaultRowHeight="15.75"/>
  <cols>
    <col min="1" max="1" width="56.85546875" style="1" customWidth="1"/>
    <col min="2" max="2" width="69.85546875" style="1" customWidth="1"/>
    <col min="3" max="3" width="26.42578125" style="1" customWidth="1"/>
    <col min="4" max="16384" width="9.140625" style="1"/>
  </cols>
  <sheetData>
    <row r="1" spans="1:3" ht="26.25" customHeight="1">
      <c r="A1" s="2"/>
      <c r="B1" s="194" t="s">
        <v>222</v>
      </c>
      <c r="C1" s="194"/>
    </row>
    <row r="2" spans="1:3" ht="23.25" customHeight="1">
      <c r="A2" s="2"/>
      <c r="B2" s="194" t="s">
        <v>207</v>
      </c>
      <c r="C2" s="194"/>
    </row>
    <row r="3" spans="1:3" ht="23.25" customHeight="1">
      <c r="A3" s="2"/>
      <c r="B3" s="194" t="s">
        <v>206</v>
      </c>
      <c r="C3" s="194"/>
    </row>
    <row r="4" spans="1:3" ht="31.5" customHeight="1">
      <c r="A4" s="2"/>
      <c r="B4" s="194" t="s">
        <v>208</v>
      </c>
      <c r="C4" s="194"/>
    </row>
    <row r="5" spans="1:3" ht="30" customHeight="1">
      <c r="A5" s="2"/>
      <c r="B5" s="194" t="s">
        <v>209</v>
      </c>
      <c r="C5" s="194"/>
    </row>
    <row r="6" spans="1:3" ht="21.75" customHeight="1">
      <c r="A6" s="2"/>
      <c r="B6" s="3"/>
      <c r="C6" s="3"/>
    </row>
    <row r="7" spans="1:3" ht="36.75" customHeight="1">
      <c r="A7" s="195" t="s">
        <v>203</v>
      </c>
      <c r="B7" s="195"/>
      <c r="C7" s="195"/>
    </row>
    <row r="8" spans="1:3" ht="12" customHeight="1">
      <c r="A8" s="4"/>
      <c r="B8" s="4"/>
      <c r="C8" s="4"/>
    </row>
    <row r="9" spans="1:3" ht="18.75" customHeight="1">
      <c r="A9" s="193" t="s">
        <v>0</v>
      </c>
      <c r="B9" s="193"/>
      <c r="C9" s="193"/>
    </row>
    <row r="10" spans="1:3" ht="16.5" customHeight="1">
      <c r="A10" s="5"/>
      <c r="B10" s="5"/>
      <c r="C10" s="5"/>
    </row>
    <row r="11" spans="1:3" ht="33" customHeight="1">
      <c r="A11" s="6" t="s">
        <v>1</v>
      </c>
      <c r="B11" s="188" t="s">
        <v>339</v>
      </c>
      <c r="C11" s="188"/>
    </row>
    <row r="12" spans="1:3" ht="34.5" customHeight="1">
      <c r="A12" s="6" t="s">
        <v>2</v>
      </c>
      <c r="B12" s="188" t="s">
        <v>3</v>
      </c>
      <c r="C12" s="188"/>
    </row>
    <row r="13" spans="1:3" ht="15.75" customHeight="1">
      <c r="A13" s="6" t="s">
        <v>4</v>
      </c>
      <c r="B13" s="188" t="s">
        <v>5</v>
      </c>
      <c r="C13" s="188"/>
    </row>
    <row r="14" spans="1:3" ht="31.5" customHeight="1">
      <c r="A14" s="6" t="s">
        <v>6</v>
      </c>
      <c r="B14" s="189" t="s">
        <v>7</v>
      </c>
      <c r="C14" s="189"/>
    </row>
    <row r="15" spans="1:3" ht="32.25" customHeight="1">
      <c r="A15" s="191" t="s">
        <v>8</v>
      </c>
      <c r="B15" s="190" t="s">
        <v>9</v>
      </c>
      <c r="C15" s="190"/>
    </row>
    <row r="16" spans="1:3" ht="29.25" hidden="1" customHeight="1">
      <c r="A16" s="191"/>
      <c r="B16" s="190" t="s">
        <v>10</v>
      </c>
      <c r="C16" s="190"/>
    </row>
    <row r="17" spans="1:9" ht="37.5" customHeight="1">
      <c r="A17" s="188" t="s">
        <v>11</v>
      </c>
      <c r="B17" s="8" t="s">
        <v>12</v>
      </c>
      <c r="C17" s="8" t="s">
        <v>13</v>
      </c>
    </row>
    <row r="18" spans="1:9" ht="23.25" customHeight="1">
      <c r="A18" s="188"/>
      <c r="B18" s="7" t="s">
        <v>14</v>
      </c>
      <c r="C18" s="9">
        <f>'5. Финансиров 12.11.2025'!O61</f>
        <v>119991338.23942399</v>
      </c>
    </row>
    <row r="19" spans="1:9" ht="19.5" customHeight="1">
      <c r="A19" s="188"/>
      <c r="B19" s="6" t="s">
        <v>15</v>
      </c>
      <c r="C19" s="9">
        <f>'5. Финансиров 12.11.2025'!O62</f>
        <v>119312865.27542402</v>
      </c>
      <c r="F19" s="1" t="s">
        <v>16</v>
      </c>
    </row>
    <row r="20" spans="1:9" ht="25.5" customHeight="1">
      <c r="A20" s="188"/>
      <c r="B20" s="6" t="s">
        <v>17</v>
      </c>
      <c r="C20" s="9">
        <f>'5. Финансиров 12.11.2025'!O63</f>
        <v>11326330.700000001</v>
      </c>
    </row>
    <row r="21" spans="1:9" ht="36.75" customHeight="1">
      <c r="A21" s="188"/>
      <c r="B21" s="6" t="s">
        <v>18</v>
      </c>
      <c r="C21" s="9"/>
    </row>
    <row r="22" spans="1:9" ht="19.5" customHeight="1">
      <c r="A22" s="188"/>
      <c r="B22" s="10" t="s">
        <v>19</v>
      </c>
      <c r="C22" s="9">
        <f>'5. Финансиров 12.11.2025'!O65</f>
        <v>12652659.299999999</v>
      </c>
    </row>
    <row r="23" spans="1:9" ht="57.75" customHeight="1">
      <c r="A23" s="188"/>
      <c r="B23" s="6" t="s">
        <v>20</v>
      </c>
      <c r="C23" s="9"/>
    </row>
    <row r="24" spans="1:9" ht="48.75" customHeight="1">
      <c r="A24" s="188"/>
      <c r="B24" s="6" t="s">
        <v>21</v>
      </c>
      <c r="C24" s="9"/>
    </row>
    <row r="25" spans="1:9" ht="22.5" customHeight="1">
      <c r="A25" s="188"/>
      <c r="B25" s="6" t="s">
        <v>22</v>
      </c>
      <c r="C25" s="11">
        <f>'5. Финансиров 12.11.2025'!O69</f>
        <v>13315940.063999999</v>
      </c>
    </row>
    <row r="26" spans="1:9" ht="22.5" customHeight="1">
      <c r="A26" s="188"/>
      <c r="B26" s="6" t="s">
        <v>23</v>
      </c>
      <c r="C26" s="9">
        <f>'5. Финансиров 12.11.2025'!O70</f>
        <v>15192.1</v>
      </c>
    </row>
    <row r="27" spans="1:9" ht="24" customHeight="1">
      <c r="A27" s="188"/>
      <c r="B27" s="6" t="s">
        <v>24</v>
      </c>
      <c r="C27" s="9"/>
    </row>
    <row r="28" spans="1:9" ht="24.75" customHeight="1">
      <c r="A28" s="191" t="s">
        <v>25</v>
      </c>
      <c r="B28" s="190" t="s">
        <v>26</v>
      </c>
      <c r="C28" s="190"/>
      <c r="I28" s="1" t="s">
        <v>27</v>
      </c>
    </row>
    <row r="29" spans="1:9" ht="54.95" customHeight="1">
      <c r="A29" s="191"/>
      <c r="B29" s="192" t="s">
        <v>28</v>
      </c>
      <c r="C29" s="192"/>
    </row>
    <row r="30" spans="1:9" ht="50.25" customHeight="1">
      <c r="A30" s="191"/>
      <c r="B30" s="190" t="s">
        <v>29</v>
      </c>
      <c r="C30" s="190"/>
    </row>
    <row r="31" spans="1:9" ht="48.6" customHeight="1">
      <c r="A31" s="191"/>
      <c r="B31" s="192" t="s">
        <v>30</v>
      </c>
      <c r="C31" s="192"/>
    </row>
    <row r="32" spans="1:9" ht="69" customHeight="1">
      <c r="A32" s="188" t="s">
        <v>31</v>
      </c>
      <c r="B32" s="189" t="s">
        <v>32</v>
      </c>
      <c r="C32" s="189"/>
    </row>
    <row r="33" spans="1:3" ht="76.5" customHeight="1">
      <c r="A33" s="188"/>
      <c r="B33" s="190" t="s">
        <v>33</v>
      </c>
      <c r="C33" s="190"/>
    </row>
    <row r="35" spans="1:3" ht="225" customHeight="1"/>
    <row r="38" spans="1:3" ht="36" customHeight="1"/>
  </sheetData>
  <mergeCells count="24">
    <mergeCell ref="B1:C1"/>
    <mergeCell ref="B2:C2"/>
    <mergeCell ref="B4:C4"/>
    <mergeCell ref="B5:C5"/>
    <mergeCell ref="A7:C7"/>
    <mergeCell ref="B3:C3"/>
    <mergeCell ref="A9:C9"/>
    <mergeCell ref="B11:C11"/>
    <mergeCell ref="B12:C12"/>
    <mergeCell ref="B13:C13"/>
    <mergeCell ref="B14:C14"/>
    <mergeCell ref="A15:A16"/>
    <mergeCell ref="B15:C15"/>
    <mergeCell ref="B16:C16"/>
    <mergeCell ref="A17:A23"/>
    <mergeCell ref="A24:A27"/>
    <mergeCell ref="A32:A33"/>
    <mergeCell ref="B32:C32"/>
    <mergeCell ref="B33:C33"/>
    <mergeCell ref="A28:A31"/>
    <mergeCell ref="B28:C28"/>
    <mergeCell ref="B29:C29"/>
    <mergeCell ref="B30:C30"/>
    <mergeCell ref="B31:C31"/>
  </mergeCells>
  <printOptions horizontalCentered="1"/>
  <pageMargins left="0.39370078740157483" right="0.39370078740157483" top="0.51181102362204722" bottom="0.39370078740157483" header="0.19685039370078741" footer="0.51181102362204722"/>
  <pageSetup paperSize="9" scale="90" firstPageNumber="6" orientation="landscape" useFirstPageNumber="1" horizontalDpi="300" verticalDpi="300" r:id="rId1"/>
  <headerFooter>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sheetPr>
    <tabColor rgb="FFFFFF00"/>
    <pageSetUpPr fitToPage="1"/>
  </sheetPr>
  <dimension ref="A1:J59"/>
  <sheetViews>
    <sheetView view="pageBreakPreview" topLeftCell="A28" zoomScaleSheetLayoutView="100" workbookViewId="0">
      <selection activeCell="B26" sqref="B26:D26"/>
    </sheetView>
  </sheetViews>
  <sheetFormatPr defaultRowHeight="15"/>
  <cols>
    <col min="1" max="1" width="13.140625" style="153" customWidth="1"/>
    <col min="2" max="2" width="61.85546875" style="153" customWidth="1"/>
    <col min="3" max="3" width="59.7109375" style="153" customWidth="1"/>
    <col min="4" max="4" width="58.42578125" style="153" customWidth="1"/>
    <col min="5" max="5" width="52.5703125" style="153" customWidth="1"/>
    <col min="6" max="16384" width="9.140625" style="153"/>
  </cols>
  <sheetData>
    <row r="1" spans="1:7" ht="22.5" customHeight="1">
      <c r="A1" s="204" t="s">
        <v>247</v>
      </c>
      <c r="B1" s="204"/>
      <c r="C1" s="204"/>
      <c r="D1" s="204"/>
    </row>
    <row r="2" spans="1:7" ht="9" customHeight="1">
      <c r="A2" s="154"/>
    </row>
    <row r="3" spans="1:7" ht="15" customHeight="1">
      <c r="A3" s="205" t="s">
        <v>248</v>
      </c>
      <c r="B3" s="205" t="s">
        <v>249</v>
      </c>
      <c r="C3" s="205" t="s">
        <v>250</v>
      </c>
      <c r="D3" s="206" t="s">
        <v>251</v>
      </c>
    </row>
    <row r="4" spans="1:7" ht="21.75" customHeight="1">
      <c r="A4" s="205"/>
      <c r="B4" s="205"/>
      <c r="C4" s="205"/>
      <c r="D4" s="206"/>
    </row>
    <row r="5" spans="1:7" ht="17.25" customHeight="1">
      <c r="A5" s="155">
        <v>1</v>
      </c>
      <c r="B5" s="155">
        <v>2</v>
      </c>
      <c r="C5" s="155">
        <v>3</v>
      </c>
      <c r="D5" s="155">
        <v>4</v>
      </c>
    </row>
    <row r="6" spans="1:7" ht="24" customHeight="1">
      <c r="A6" s="207" t="s">
        <v>55</v>
      </c>
      <c r="B6" s="208" t="s">
        <v>252</v>
      </c>
      <c r="C6" s="208"/>
      <c r="D6" s="208"/>
    </row>
    <row r="7" spans="1:7" ht="24" customHeight="1">
      <c r="A7" s="207"/>
      <c r="B7" s="209" t="s">
        <v>253</v>
      </c>
      <c r="C7" s="209"/>
      <c r="D7" s="209"/>
    </row>
    <row r="8" spans="1:7" ht="25.5" customHeight="1">
      <c r="A8" s="156"/>
      <c r="B8" s="210" t="s">
        <v>254</v>
      </c>
      <c r="C8" s="211"/>
      <c r="D8" s="157" t="s">
        <v>255</v>
      </c>
      <c r="G8" s="153" t="s">
        <v>256</v>
      </c>
    </row>
    <row r="9" spans="1:7" ht="78" customHeight="1">
      <c r="A9" s="158" t="s">
        <v>257</v>
      </c>
      <c r="B9" s="159" t="s">
        <v>258</v>
      </c>
      <c r="C9" s="160" t="s">
        <v>259</v>
      </c>
      <c r="D9" s="161" t="s">
        <v>260</v>
      </c>
    </row>
    <row r="10" spans="1:7" ht="82.5" customHeight="1">
      <c r="A10" s="158" t="s">
        <v>261</v>
      </c>
      <c r="B10" s="159" t="s">
        <v>262</v>
      </c>
      <c r="C10" s="160" t="s">
        <v>263</v>
      </c>
      <c r="D10" s="161" t="s">
        <v>264</v>
      </c>
    </row>
    <row r="11" spans="1:7" ht="57" customHeight="1">
      <c r="A11" s="158" t="s">
        <v>265</v>
      </c>
      <c r="B11" s="159" t="s">
        <v>266</v>
      </c>
      <c r="C11" s="162" t="s">
        <v>267</v>
      </c>
      <c r="D11" s="161" t="s">
        <v>268</v>
      </c>
    </row>
    <row r="12" spans="1:7" ht="22.5" customHeight="1">
      <c r="A12" s="207" t="s">
        <v>57</v>
      </c>
      <c r="B12" s="208" t="s">
        <v>269</v>
      </c>
      <c r="C12" s="208"/>
      <c r="D12" s="208"/>
    </row>
    <row r="13" spans="1:7" ht="21" customHeight="1">
      <c r="A13" s="207"/>
      <c r="B13" s="209" t="s">
        <v>253</v>
      </c>
      <c r="C13" s="209"/>
      <c r="D13" s="209"/>
    </row>
    <row r="14" spans="1:7" ht="22.5" customHeight="1">
      <c r="A14" s="163"/>
      <c r="B14" s="212" t="s">
        <v>254</v>
      </c>
      <c r="C14" s="213"/>
      <c r="D14" s="164" t="s">
        <v>255</v>
      </c>
    </row>
    <row r="15" spans="1:7" ht="57" customHeight="1">
      <c r="A15" s="196" t="s">
        <v>270</v>
      </c>
      <c r="B15" s="198" t="s">
        <v>271</v>
      </c>
      <c r="C15" s="200" t="s">
        <v>272</v>
      </c>
      <c r="D15" s="202" t="s">
        <v>273</v>
      </c>
    </row>
    <row r="16" spans="1:7" ht="57" customHeight="1">
      <c r="A16" s="197"/>
      <c r="B16" s="199"/>
      <c r="C16" s="201"/>
      <c r="D16" s="203"/>
    </row>
    <row r="17" spans="1:9" ht="21" customHeight="1">
      <c r="A17" s="220" t="s">
        <v>59</v>
      </c>
      <c r="B17" s="208" t="s">
        <v>274</v>
      </c>
      <c r="C17" s="208"/>
      <c r="D17" s="208"/>
    </row>
    <row r="18" spans="1:9" ht="25.5" customHeight="1">
      <c r="A18" s="220"/>
      <c r="B18" s="209" t="s">
        <v>253</v>
      </c>
      <c r="C18" s="209"/>
      <c r="D18" s="209"/>
    </row>
    <row r="19" spans="1:9" ht="33" customHeight="1">
      <c r="A19" s="165"/>
      <c r="B19" s="221" t="s">
        <v>254</v>
      </c>
      <c r="C19" s="222"/>
      <c r="D19" s="166" t="s">
        <v>275</v>
      </c>
    </row>
    <row r="20" spans="1:9" ht="151.5" customHeight="1">
      <c r="A20" s="165" t="s">
        <v>276</v>
      </c>
      <c r="B20" s="159" t="s">
        <v>277</v>
      </c>
      <c r="C20" s="167" t="s">
        <v>278</v>
      </c>
      <c r="D20" s="168" t="s">
        <v>279</v>
      </c>
    </row>
    <row r="21" spans="1:9" ht="43.5" customHeight="1">
      <c r="A21" s="223" t="s">
        <v>60</v>
      </c>
      <c r="B21" s="225" t="s">
        <v>280</v>
      </c>
      <c r="C21" s="226"/>
      <c r="D21" s="227"/>
    </row>
    <row r="22" spans="1:9" ht="45" customHeight="1">
      <c r="A22" s="224"/>
      <c r="B22" s="228" t="s">
        <v>338</v>
      </c>
      <c r="C22" s="229"/>
      <c r="D22" s="230"/>
    </row>
    <row r="23" spans="1:9" ht="43.5" customHeight="1">
      <c r="A23" s="163"/>
      <c r="B23" s="231" t="s">
        <v>254</v>
      </c>
      <c r="C23" s="231"/>
      <c r="D23" s="157" t="s">
        <v>281</v>
      </c>
      <c r="E23" s="153" t="s">
        <v>27</v>
      </c>
      <c r="G23" s="153" t="s">
        <v>16</v>
      </c>
    </row>
    <row r="24" spans="1:9" ht="96" customHeight="1">
      <c r="A24" s="169" t="s">
        <v>282</v>
      </c>
      <c r="B24" s="170" t="s">
        <v>283</v>
      </c>
      <c r="C24" s="171" t="s">
        <v>284</v>
      </c>
      <c r="D24" s="185" t="s">
        <v>285</v>
      </c>
      <c r="E24" s="172" t="s">
        <v>27</v>
      </c>
      <c r="F24" s="172"/>
      <c r="H24" s="153" t="s">
        <v>256</v>
      </c>
      <c r="I24" s="153" t="s">
        <v>286</v>
      </c>
    </row>
    <row r="25" spans="1:9" ht="82.5" customHeight="1">
      <c r="A25" s="158" t="s">
        <v>287</v>
      </c>
      <c r="B25" s="159" t="s">
        <v>288</v>
      </c>
      <c r="C25" s="173" t="s">
        <v>289</v>
      </c>
      <c r="D25" s="174" t="s">
        <v>290</v>
      </c>
      <c r="E25" s="172" t="s">
        <v>27</v>
      </c>
      <c r="F25" s="172"/>
    </row>
    <row r="26" spans="1:9" ht="56.25" customHeight="1">
      <c r="A26" s="207" t="s">
        <v>291</v>
      </c>
      <c r="B26" s="208" t="s">
        <v>292</v>
      </c>
      <c r="C26" s="208"/>
      <c r="D26" s="208"/>
      <c r="E26" s="175"/>
      <c r="F26" s="172"/>
    </row>
    <row r="27" spans="1:9" ht="45.75" customHeight="1">
      <c r="A27" s="207"/>
      <c r="B27" s="228" t="s">
        <v>338</v>
      </c>
      <c r="C27" s="229"/>
      <c r="D27" s="230"/>
      <c r="E27" s="175"/>
      <c r="F27" s="172"/>
    </row>
    <row r="28" spans="1:9" ht="33.75" customHeight="1">
      <c r="A28" s="158"/>
      <c r="B28" s="231" t="s">
        <v>254</v>
      </c>
      <c r="C28" s="231"/>
      <c r="D28" s="157" t="s">
        <v>281</v>
      </c>
      <c r="E28" s="175" t="s">
        <v>16</v>
      </c>
      <c r="F28" s="172"/>
    </row>
    <row r="29" spans="1:9" ht="67.5" customHeight="1">
      <c r="A29" s="196" t="s">
        <v>293</v>
      </c>
      <c r="B29" s="214" t="s">
        <v>294</v>
      </c>
      <c r="C29" s="216" t="s">
        <v>340</v>
      </c>
      <c r="D29" s="218" t="s">
        <v>285</v>
      </c>
      <c r="E29" s="172"/>
      <c r="F29" s="172"/>
    </row>
    <row r="30" spans="1:9" ht="128.25" customHeight="1">
      <c r="A30" s="197"/>
      <c r="B30" s="215"/>
      <c r="C30" s="217"/>
      <c r="D30" s="219"/>
      <c r="E30" s="172"/>
      <c r="F30" s="172"/>
    </row>
    <row r="31" spans="1:9" ht="33" customHeight="1">
      <c r="A31" s="220" t="s">
        <v>295</v>
      </c>
      <c r="B31" s="208" t="s">
        <v>296</v>
      </c>
      <c r="C31" s="208"/>
      <c r="D31" s="208"/>
      <c r="E31" s="175"/>
      <c r="F31" s="172"/>
    </row>
    <row r="32" spans="1:9" ht="35.25" customHeight="1">
      <c r="A32" s="220"/>
      <c r="B32" s="228" t="s">
        <v>338</v>
      </c>
      <c r="C32" s="229"/>
      <c r="D32" s="230"/>
      <c r="E32" s="175"/>
      <c r="F32" s="172"/>
    </row>
    <row r="33" spans="1:10" ht="31.5" customHeight="1">
      <c r="A33" s="165"/>
      <c r="B33" s="221" t="s">
        <v>254</v>
      </c>
      <c r="C33" s="222"/>
      <c r="D33" s="166" t="s">
        <v>297</v>
      </c>
      <c r="E33" s="175"/>
      <c r="F33" s="172"/>
    </row>
    <row r="34" spans="1:10" ht="192.75" customHeight="1">
      <c r="A34" s="165" t="s">
        <v>298</v>
      </c>
      <c r="B34" s="159" t="s">
        <v>299</v>
      </c>
      <c r="C34" s="176" t="s">
        <v>300</v>
      </c>
      <c r="D34" s="168" t="s">
        <v>279</v>
      </c>
      <c r="E34" s="172" t="s">
        <v>27</v>
      </c>
      <c r="F34" s="172"/>
    </row>
    <row r="35" spans="1:10" ht="26.25" customHeight="1">
      <c r="A35" s="232" t="s">
        <v>301</v>
      </c>
      <c r="B35" s="234" t="s">
        <v>132</v>
      </c>
      <c r="C35" s="234"/>
      <c r="D35" s="234"/>
      <c r="E35" s="153" t="s">
        <v>256</v>
      </c>
    </row>
    <row r="36" spans="1:10" ht="26.25" customHeight="1">
      <c r="A36" s="233"/>
      <c r="B36" s="228" t="s">
        <v>338</v>
      </c>
      <c r="C36" s="229"/>
      <c r="D36" s="230"/>
    </row>
    <row r="37" spans="1:10" ht="30.75" customHeight="1">
      <c r="A37" s="165"/>
      <c r="B37" s="212" t="s">
        <v>254</v>
      </c>
      <c r="C37" s="213"/>
      <c r="D37" s="168" t="s">
        <v>302</v>
      </c>
      <c r="E37" s="172" t="s">
        <v>256</v>
      </c>
      <c r="H37" s="153" t="s">
        <v>27</v>
      </c>
    </row>
    <row r="38" spans="1:10" ht="58.5" customHeight="1">
      <c r="A38" s="165" t="s">
        <v>303</v>
      </c>
      <c r="B38" s="177" t="s">
        <v>304</v>
      </c>
      <c r="C38" s="178" t="s">
        <v>305</v>
      </c>
      <c r="D38" s="168" t="s">
        <v>306</v>
      </c>
      <c r="E38" s="179" t="s">
        <v>256</v>
      </c>
      <c r="I38" s="153" t="s">
        <v>256</v>
      </c>
    </row>
    <row r="39" spans="1:10" ht="34.5" hidden="1" customHeight="1">
      <c r="A39" s="165"/>
      <c r="B39" s="234" t="s">
        <v>307</v>
      </c>
      <c r="C39" s="234"/>
      <c r="D39" s="234"/>
      <c r="E39" s="172"/>
    </row>
    <row r="40" spans="1:10" ht="36" hidden="1" customHeight="1">
      <c r="A40" s="165"/>
      <c r="B40" s="177" t="s">
        <v>308</v>
      </c>
      <c r="C40" s="238" t="s">
        <v>309</v>
      </c>
      <c r="D40" s="238"/>
      <c r="E40" s="172"/>
    </row>
    <row r="41" spans="1:10" ht="45" hidden="1" customHeight="1">
      <c r="A41" s="165"/>
      <c r="B41" s="180" t="s">
        <v>310</v>
      </c>
      <c r="C41" s="231" t="s">
        <v>311</v>
      </c>
      <c r="D41" s="231" t="s">
        <v>201</v>
      </c>
      <c r="E41" s="172"/>
    </row>
    <row r="42" spans="1:10" ht="24.75" hidden="1" customHeight="1">
      <c r="A42" s="165"/>
      <c r="B42" s="180" t="s">
        <v>312</v>
      </c>
      <c r="C42" s="231"/>
      <c r="D42" s="231"/>
      <c r="E42" s="172"/>
    </row>
    <row r="43" spans="1:10" ht="38.25" customHeight="1">
      <c r="A43" s="165" t="s">
        <v>313</v>
      </c>
      <c r="B43" s="239" t="s">
        <v>82</v>
      </c>
      <c r="C43" s="239"/>
      <c r="D43" s="239"/>
      <c r="E43" s="172"/>
    </row>
    <row r="44" spans="1:10" ht="21.75" customHeight="1">
      <c r="A44" s="165"/>
      <c r="B44" s="212" t="s">
        <v>254</v>
      </c>
      <c r="C44" s="213"/>
      <c r="D44" s="168" t="s">
        <v>302</v>
      </c>
      <c r="E44" s="172"/>
      <c r="J44" s="153" t="s">
        <v>256</v>
      </c>
    </row>
    <row r="45" spans="1:10" ht="48.75" customHeight="1">
      <c r="A45" s="165" t="s">
        <v>314</v>
      </c>
      <c r="B45" s="177" t="s">
        <v>315</v>
      </c>
      <c r="C45" s="178" t="s">
        <v>316</v>
      </c>
      <c r="D45" s="168" t="s">
        <v>317</v>
      </c>
      <c r="E45" s="179"/>
      <c r="H45" s="153" t="s">
        <v>256</v>
      </c>
    </row>
    <row r="46" spans="1:10" ht="26.25" customHeight="1">
      <c r="A46" s="165" t="s">
        <v>318</v>
      </c>
      <c r="B46" s="234" t="s">
        <v>319</v>
      </c>
      <c r="C46" s="234"/>
      <c r="D46" s="234"/>
    </row>
    <row r="47" spans="1:10" ht="27" customHeight="1">
      <c r="A47" s="165"/>
      <c r="B47" s="212" t="s">
        <v>254</v>
      </c>
      <c r="C47" s="213"/>
      <c r="D47" s="168" t="s">
        <v>302</v>
      </c>
      <c r="E47" s="172"/>
      <c r="F47" s="172"/>
    </row>
    <row r="48" spans="1:10" ht="67.5" customHeight="1">
      <c r="A48" s="165" t="s">
        <v>320</v>
      </c>
      <c r="B48" s="180" t="s">
        <v>321</v>
      </c>
      <c r="C48" s="159" t="s">
        <v>322</v>
      </c>
      <c r="D48" s="163" t="s">
        <v>317</v>
      </c>
      <c r="E48" s="181" t="s">
        <v>27</v>
      </c>
      <c r="F48" s="172"/>
      <c r="I48" s="153" t="s">
        <v>256</v>
      </c>
    </row>
    <row r="49" spans="1:10" ht="27.75" customHeight="1">
      <c r="A49" s="165" t="s">
        <v>323</v>
      </c>
      <c r="B49" s="240" t="s">
        <v>92</v>
      </c>
      <c r="C49" s="240"/>
      <c r="D49" s="240"/>
      <c r="E49" s="172"/>
      <c r="F49" s="172"/>
      <c r="J49" s="153" t="s">
        <v>27</v>
      </c>
    </row>
    <row r="50" spans="1:10" ht="22.5" customHeight="1">
      <c r="A50" s="165"/>
      <c r="B50" s="212" t="s">
        <v>254</v>
      </c>
      <c r="C50" s="213"/>
      <c r="D50" s="168" t="s">
        <v>302</v>
      </c>
      <c r="E50" s="172" t="s">
        <v>27</v>
      </c>
      <c r="F50" s="172"/>
    </row>
    <row r="51" spans="1:10" ht="54" customHeight="1">
      <c r="A51" s="165" t="s">
        <v>324</v>
      </c>
      <c r="B51" s="180" t="s">
        <v>325</v>
      </c>
      <c r="C51" s="182" t="s">
        <v>326</v>
      </c>
      <c r="D51" s="183" t="s">
        <v>327</v>
      </c>
    </row>
    <row r="52" spans="1:10" ht="39" customHeight="1">
      <c r="A52" s="165" t="s">
        <v>328</v>
      </c>
      <c r="B52" s="235" t="s">
        <v>329</v>
      </c>
      <c r="C52" s="236"/>
      <c r="D52" s="237"/>
      <c r="E52" s="153" t="s">
        <v>256</v>
      </c>
    </row>
    <row r="53" spans="1:10" ht="31.5" customHeight="1">
      <c r="A53" s="165"/>
      <c r="B53" s="212" t="s">
        <v>254</v>
      </c>
      <c r="C53" s="213"/>
      <c r="D53" s="168" t="s">
        <v>302</v>
      </c>
    </row>
    <row r="54" spans="1:10" ht="48.75" customHeight="1">
      <c r="A54" s="165" t="s">
        <v>330</v>
      </c>
      <c r="B54" s="184" t="s">
        <v>331</v>
      </c>
      <c r="C54" s="231" t="s">
        <v>332</v>
      </c>
      <c r="D54" s="207" t="s">
        <v>333</v>
      </c>
      <c r="E54" s="153" t="s">
        <v>256</v>
      </c>
    </row>
    <row r="55" spans="1:10" ht="67.5" customHeight="1">
      <c r="A55" s="165" t="s">
        <v>334</v>
      </c>
      <c r="B55" s="184" t="s">
        <v>335</v>
      </c>
      <c r="C55" s="231"/>
      <c r="D55" s="207"/>
      <c r="E55" s="153" t="s">
        <v>16</v>
      </c>
    </row>
    <row r="56" spans="1:10" ht="7.5" customHeight="1"/>
    <row r="57" spans="1:10" ht="51" customHeight="1">
      <c r="A57" s="241" t="s">
        <v>336</v>
      </c>
      <c r="B57" s="241"/>
      <c r="C57" s="241"/>
      <c r="D57" s="241"/>
    </row>
    <row r="58" spans="1:10" ht="12" customHeight="1"/>
    <row r="59" spans="1:10" ht="51.75" customHeight="1">
      <c r="A59" s="241" t="s">
        <v>337</v>
      </c>
      <c r="B59" s="241"/>
      <c r="C59" s="241"/>
      <c r="D59" s="241"/>
    </row>
  </sheetData>
  <mergeCells count="57">
    <mergeCell ref="B53:C53"/>
    <mergeCell ref="C54:C55"/>
    <mergeCell ref="D54:D55"/>
    <mergeCell ref="A57:D57"/>
    <mergeCell ref="A59:D59"/>
    <mergeCell ref="A35:A36"/>
    <mergeCell ref="B35:D35"/>
    <mergeCell ref="B36:D36"/>
    <mergeCell ref="B52:D52"/>
    <mergeCell ref="B37:C37"/>
    <mergeCell ref="B39:D39"/>
    <mergeCell ref="C40:D40"/>
    <mergeCell ref="C41:C42"/>
    <mergeCell ref="D41:D42"/>
    <mergeCell ref="B43:D43"/>
    <mergeCell ref="B44:C44"/>
    <mergeCell ref="B46:D46"/>
    <mergeCell ref="B47:C47"/>
    <mergeCell ref="B49:D49"/>
    <mergeCell ref="B50:C50"/>
    <mergeCell ref="B28:C28"/>
    <mergeCell ref="A31:A32"/>
    <mergeCell ref="B31:D31"/>
    <mergeCell ref="B32:D32"/>
    <mergeCell ref="B33:C33"/>
    <mergeCell ref="B14:C14"/>
    <mergeCell ref="A29:A30"/>
    <mergeCell ref="B29:B30"/>
    <mergeCell ref="C29:C30"/>
    <mergeCell ref="D29:D30"/>
    <mergeCell ref="A17:A18"/>
    <mergeCell ref="B17:D17"/>
    <mergeCell ref="B18:D18"/>
    <mergeCell ref="B19:C19"/>
    <mergeCell ref="A21:A22"/>
    <mergeCell ref="B21:D21"/>
    <mergeCell ref="B22:D22"/>
    <mergeCell ref="B23:C23"/>
    <mergeCell ref="A26:A27"/>
    <mergeCell ref="B26:D26"/>
    <mergeCell ref="B27:D27"/>
    <mergeCell ref="A15:A16"/>
    <mergeCell ref="B15:B16"/>
    <mergeCell ref="C15:C16"/>
    <mergeCell ref="D15:D16"/>
    <mergeCell ref="A1:D1"/>
    <mergeCell ref="A3:A4"/>
    <mergeCell ref="B3:B4"/>
    <mergeCell ref="C3:C4"/>
    <mergeCell ref="D3:D4"/>
    <mergeCell ref="A6:A7"/>
    <mergeCell ref="B6:D6"/>
    <mergeCell ref="B7:D7"/>
    <mergeCell ref="B8:C8"/>
    <mergeCell ref="A12:A13"/>
    <mergeCell ref="B12:D12"/>
    <mergeCell ref="B13:D13"/>
  </mergeCells>
  <pageMargins left="0.39370078740157483" right="0.39370078740157483" top="1.1811023622047245" bottom="0.39370078740157483" header="0.11811023622047245" footer="0.31496062992125984"/>
  <pageSetup paperSize="9" scale="71" firstPageNumber="8" fitToHeight="8" orientation="landscape" useFirstPageNumber="1" r:id="rId1"/>
  <headerFooter>
    <oddHeader>&amp;C&amp;"Times New Roman,обычный"&amp;12&amp;P</oddHeader>
  </headerFooter>
</worksheet>
</file>

<file path=xl/worksheets/sheet3.xml><?xml version="1.0" encoding="utf-8"?>
<worksheet xmlns="http://schemas.openxmlformats.org/spreadsheetml/2006/main" xmlns:r="http://schemas.openxmlformats.org/officeDocument/2006/relationships">
  <sheetPr>
    <tabColor rgb="FFFFFF00"/>
  </sheetPr>
  <dimension ref="A1:X246"/>
  <sheetViews>
    <sheetView tabSelected="1" topLeftCell="A9" zoomScale="82" zoomScaleNormal="82" zoomScaleSheetLayoutView="70" zoomScalePageLayoutView="70" workbookViewId="0">
      <pane xSplit="7" ySplit="57" topLeftCell="H218" activePane="bottomRight" state="frozen"/>
      <selection activeCell="A9" sqref="A9"/>
      <selection pane="topRight" activeCell="H9" sqref="H9"/>
      <selection pane="bottomLeft" activeCell="A66" sqref="A66"/>
      <selection pane="bottomRight" activeCell="A186" sqref="A186:O192"/>
    </sheetView>
  </sheetViews>
  <sheetFormatPr defaultColWidth="9.140625" defaultRowHeight="15.75"/>
  <cols>
    <col min="1" max="1" width="7.140625" style="13" customWidth="1"/>
    <col min="2" max="2" width="53" style="13" hidden="1" customWidth="1"/>
    <col min="3" max="3" width="60.85546875" style="13" customWidth="1"/>
    <col min="4" max="4" width="6.42578125" style="13" customWidth="1"/>
    <col min="5" max="5" width="8" style="13" customWidth="1"/>
    <col min="6" max="6" width="16.28515625" style="13" customWidth="1"/>
    <col min="7" max="7" width="9.5703125" style="13" customWidth="1"/>
    <col min="8" max="8" width="14.28515625" style="13" customWidth="1"/>
    <col min="9" max="9" width="13.85546875" style="82" customWidth="1"/>
    <col min="10" max="10" width="14.5703125" style="13" customWidth="1"/>
    <col min="11" max="11" width="14.7109375" style="13" customWidth="1"/>
    <col min="12" max="12" width="14" style="13" customWidth="1"/>
    <col min="13" max="13" width="14.28515625" style="13" customWidth="1"/>
    <col min="14" max="14" width="14.5703125" style="13" customWidth="1"/>
    <col min="15" max="15" width="15.28515625" style="13" customWidth="1"/>
    <col min="16" max="16" width="11.5703125" style="13" hidden="1" customWidth="1"/>
    <col min="17" max="17" width="15.28515625" style="13" customWidth="1"/>
    <col min="18" max="18" width="26.42578125" style="13" customWidth="1"/>
    <col min="19" max="19" width="17.7109375" style="13" customWidth="1"/>
    <col min="20" max="20" width="18.7109375" style="13" customWidth="1"/>
    <col min="21" max="21" width="13" style="13" customWidth="1"/>
    <col min="22" max="22" width="13.140625" style="13" customWidth="1"/>
    <col min="23" max="23" width="14.7109375" style="13" customWidth="1"/>
    <col min="24" max="24" width="15" style="13" customWidth="1"/>
    <col min="25" max="16384" width="9.140625" style="13"/>
  </cols>
  <sheetData>
    <row r="1" spans="1:15" hidden="1">
      <c r="A1" s="14" t="str">
        <f>HYPERLINK("#Оглавление!A1","Назад в оглавление")</f>
        <v>Назад в оглавление</v>
      </c>
    </row>
    <row r="2" spans="1:15" ht="19.5" hidden="1" customHeight="1">
      <c r="A2" s="14"/>
      <c r="K2" s="253" t="s">
        <v>34</v>
      </c>
      <c r="L2" s="253"/>
      <c r="M2" s="253"/>
      <c r="N2" s="253"/>
      <c r="O2" s="253"/>
    </row>
    <row r="3" spans="1:15" ht="48.75" hidden="1" customHeight="1">
      <c r="A3" s="14"/>
      <c r="K3" s="254" t="s">
        <v>35</v>
      </c>
      <c r="L3" s="254"/>
      <c r="M3" s="254"/>
      <c r="N3" s="254"/>
      <c r="O3" s="254"/>
    </row>
    <row r="4" spans="1:15" ht="24.75" hidden="1" customHeight="1">
      <c r="A4" s="14"/>
      <c r="K4" s="253" t="s">
        <v>36</v>
      </c>
      <c r="L4" s="253"/>
      <c r="M4" s="253"/>
      <c r="N4" s="253"/>
      <c r="O4" s="253"/>
    </row>
    <row r="5" spans="1:15" ht="30.75" hidden="1" customHeight="1">
      <c r="A5" s="14"/>
      <c r="K5" s="253" t="s">
        <v>37</v>
      </c>
      <c r="L5" s="253"/>
      <c r="M5" s="253"/>
      <c r="N5" s="253"/>
      <c r="O5" s="253"/>
    </row>
    <row r="6" spans="1:15" hidden="1">
      <c r="A6" s="14"/>
    </row>
    <row r="7" spans="1:15" ht="53.25" hidden="1" customHeight="1">
      <c r="A7" s="255" t="s">
        <v>38</v>
      </c>
      <c r="B7" s="255"/>
      <c r="C7" s="255"/>
      <c r="D7" s="255"/>
      <c r="E7" s="255"/>
      <c r="F7" s="255"/>
      <c r="G7" s="255"/>
      <c r="H7" s="255"/>
      <c r="I7" s="255"/>
      <c r="J7" s="255"/>
      <c r="K7" s="255"/>
      <c r="L7" s="255"/>
      <c r="M7" s="255"/>
      <c r="N7" s="255"/>
      <c r="O7" s="255"/>
    </row>
    <row r="8" spans="1:15" ht="24.75" hidden="1" customHeight="1">
      <c r="A8" s="15"/>
      <c r="B8" s="15"/>
      <c r="C8" s="15"/>
      <c r="D8" s="15"/>
      <c r="E8" s="15"/>
      <c r="F8" s="15"/>
      <c r="G8" s="15"/>
      <c r="H8" s="15"/>
      <c r="I8" s="90"/>
      <c r="J8" s="15"/>
      <c r="K8" s="15"/>
      <c r="L8" s="15"/>
      <c r="M8" s="15"/>
      <c r="N8" s="15"/>
      <c r="O8" s="15"/>
    </row>
    <row r="9" spans="1:15" ht="21.75" customHeight="1">
      <c r="A9" s="257" t="s">
        <v>39</v>
      </c>
      <c r="B9" s="257"/>
      <c r="C9" s="257"/>
      <c r="D9" s="257"/>
      <c r="E9" s="257"/>
      <c r="F9" s="257"/>
      <c r="G9" s="257"/>
      <c r="H9" s="257"/>
      <c r="I9" s="257"/>
      <c r="J9" s="257"/>
      <c r="K9" s="257"/>
      <c r="L9" s="257"/>
      <c r="M9" s="257"/>
      <c r="N9" s="257"/>
      <c r="O9" s="257"/>
    </row>
    <row r="10" spans="1:15" hidden="1">
      <c r="A10" s="16"/>
      <c r="B10" s="16"/>
      <c r="C10" s="16"/>
      <c r="D10" s="16"/>
      <c r="E10" s="16"/>
      <c r="F10" s="16"/>
      <c r="G10" s="16"/>
      <c r="H10" s="16"/>
      <c r="I10" s="91"/>
      <c r="J10" s="16"/>
      <c r="K10" s="16"/>
      <c r="L10" s="16"/>
      <c r="M10" s="16"/>
      <c r="N10" s="16"/>
      <c r="O10" s="17" t="s">
        <v>40</v>
      </c>
    </row>
    <row r="11" spans="1:15" ht="32.25" hidden="1" customHeight="1">
      <c r="A11" s="258" t="s">
        <v>41</v>
      </c>
      <c r="B11" s="258" t="s">
        <v>42</v>
      </c>
      <c r="C11" s="259" t="s">
        <v>12</v>
      </c>
      <c r="D11" s="18"/>
      <c r="E11" s="18"/>
      <c r="F11" s="18"/>
      <c r="G11" s="18"/>
      <c r="H11" s="258" t="s">
        <v>43</v>
      </c>
      <c r="I11" s="258"/>
      <c r="J11" s="258"/>
      <c r="K11" s="258"/>
      <c r="L11" s="258"/>
      <c r="M11" s="258"/>
      <c r="N11" s="258"/>
      <c r="O11" s="258"/>
    </row>
    <row r="12" spans="1:15" ht="19.5" hidden="1" customHeight="1">
      <c r="A12" s="258"/>
      <c r="B12" s="258"/>
      <c r="C12" s="259"/>
      <c r="D12" s="18"/>
      <c r="E12" s="18"/>
      <c r="F12" s="18"/>
      <c r="G12" s="18"/>
      <c r="H12" s="8" t="s">
        <v>44</v>
      </c>
      <c r="I12" s="78" t="s">
        <v>45</v>
      </c>
      <c r="J12" s="8" t="s">
        <v>46</v>
      </c>
      <c r="K12" s="8" t="s">
        <v>47</v>
      </c>
      <c r="L12" s="8" t="s">
        <v>48</v>
      </c>
      <c r="M12" s="8" t="s">
        <v>49</v>
      </c>
      <c r="N12" s="8" t="s">
        <v>50</v>
      </c>
      <c r="O12" s="8" t="s">
        <v>51</v>
      </c>
    </row>
    <row r="13" spans="1:15" hidden="1">
      <c r="A13" s="19">
        <v>1</v>
      </c>
      <c r="B13" s="19">
        <v>2</v>
      </c>
      <c r="C13" s="19">
        <v>3</v>
      </c>
      <c r="D13" s="19"/>
      <c r="E13" s="19"/>
      <c r="F13" s="19"/>
      <c r="G13" s="19"/>
      <c r="H13" s="19">
        <v>4</v>
      </c>
      <c r="I13" s="92">
        <v>5</v>
      </c>
      <c r="J13" s="19">
        <v>6</v>
      </c>
      <c r="K13" s="19">
        <v>7</v>
      </c>
      <c r="L13" s="19">
        <v>8</v>
      </c>
      <c r="M13" s="19">
        <v>9</v>
      </c>
      <c r="N13" s="19">
        <v>10</v>
      </c>
      <c r="O13" s="19">
        <v>11</v>
      </c>
    </row>
    <row r="14" spans="1:15" ht="24" hidden="1" customHeight="1">
      <c r="A14" s="12" t="s">
        <v>52</v>
      </c>
      <c r="B14" s="191" t="s">
        <v>53</v>
      </c>
      <c r="C14" s="12" t="s">
        <v>54</v>
      </c>
      <c r="D14" s="12"/>
      <c r="E14" s="12"/>
      <c r="F14" s="12"/>
      <c r="G14" s="12"/>
      <c r="H14" s="9">
        <f t="shared" ref="H14:N17" si="0">H19+H23+H27+H31+H35+H39+H43+H47+H51</f>
        <v>13730036</v>
      </c>
      <c r="I14" s="93">
        <f t="shared" si="0"/>
        <v>14980954.799999999</v>
      </c>
      <c r="J14" s="9">
        <f t="shared" si="0"/>
        <v>15011989.799999999</v>
      </c>
      <c r="K14" s="9">
        <f t="shared" si="0"/>
        <v>16392115.899999999</v>
      </c>
      <c r="L14" s="9">
        <f t="shared" si="0"/>
        <v>17913964.5</v>
      </c>
      <c r="M14" s="9">
        <f t="shared" si="0"/>
        <v>17610107.599999998</v>
      </c>
      <c r="N14" s="9">
        <f t="shared" si="0"/>
        <v>18467118.800000001</v>
      </c>
      <c r="O14" s="9">
        <f>SUM(H14:N14)</f>
        <v>114106287.39999999</v>
      </c>
    </row>
    <row r="15" spans="1:15" ht="21" hidden="1" customHeight="1">
      <c r="A15" s="12" t="s">
        <v>55</v>
      </c>
      <c r="B15" s="191"/>
      <c r="C15" s="12" t="s">
        <v>56</v>
      </c>
      <c r="D15" s="12"/>
      <c r="E15" s="12"/>
      <c r="F15" s="12"/>
      <c r="G15" s="12"/>
      <c r="H15" s="9">
        <f t="shared" si="0"/>
        <v>1850747.4</v>
      </c>
      <c r="I15" s="93">
        <f t="shared" si="0"/>
        <v>2703755.0999999996</v>
      </c>
      <c r="J15" s="9">
        <f t="shared" si="0"/>
        <v>0</v>
      </c>
      <c r="K15" s="9">
        <f t="shared" si="0"/>
        <v>1067524</v>
      </c>
      <c r="L15" s="9">
        <f t="shared" si="0"/>
        <v>2287340</v>
      </c>
      <c r="M15" s="9">
        <f t="shared" si="0"/>
        <v>1480000</v>
      </c>
      <c r="N15" s="9">
        <f t="shared" si="0"/>
        <v>1778445.7</v>
      </c>
      <c r="O15" s="9">
        <f>SUM(H15:N15)</f>
        <v>11167812.199999999</v>
      </c>
    </row>
    <row r="16" spans="1:15" ht="20.25" hidden="1" customHeight="1">
      <c r="A16" s="12" t="s">
        <v>57</v>
      </c>
      <c r="B16" s="191"/>
      <c r="C16" s="12" t="s">
        <v>58</v>
      </c>
      <c r="D16" s="12"/>
      <c r="E16" s="12"/>
      <c r="F16" s="12"/>
      <c r="G16" s="12"/>
      <c r="H16" s="9">
        <f t="shared" si="0"/>
        <v>11772619.300000001</v>
      </c>
      <c r="I16" s="93">
        <f t="shared" si="0"/>
        <v>12269788.799999999</v>
      </c>
      <c r="J16" s="9">
        <f t="shared" si="0"/>
        <v>15010092.799999999</v>
      </c>
      <c r="K16" s="9">
        <f t="shared" si="0"/>
        <v>15322694.899999999</v>
      </c>
      <c r="L16" s="9">
        <f t="shared" si="0"/>
        <v>15624727.5</v>
      </c>
      <c r="M16" s="9">
        <f t="shared" si="0"/>
        <v>16128210.6</v>
      </c>
      <c r="N16" s="9">
        <f t="shared" si="0"/>
        <v>16686776.1</v>
      </c>
      <c r="O16" s="9">
        <f>SUM(H16:N16)</f>
        <v>102814909.99999999</v>
      </c>
    </row>
    <row r="17" spans="1:15" ht="23.25" hidden="1" customHeight="1">
      <c r="A17" s="12" t="s">
        <v>59</v>
      </c>
      <c r="B17" s="191"/>
      <c r="C17" s="12" t="s">
        <v>22</v>
      </c>
      <c r="D17" s="12"/>
      <c r="E17" s="12"/>
      <c r="F17" s="12"/>
      <c r="G17" s="12"/>
      <c r="H17" s="9">
        <f t="shared" si="0"/>
        <v>106669.3</v>
      </c>
      <c r="I17" s="93">
        <f t="shared" si="0"/>
        <v>7410.9</v>
      </c>
      <c r="J17" s="9">
        <f t="shared" si="0"/>
        <v>1897</v>
      </c>
      <c r="K17" s="9">
        <f t="shared" si="0"/>
        <v>1897</v>
      </c>
      <c r="L17" s="9">
        <f t="shared" si="0"/>
        <v>1897</v>
      </c>
      <c r="M17" s="9">
        <f t="shared" si="0"/>
        <v>1897</v>
      </c>
      <c r="N17" s="9">
        <f t="shared" si="0"/>
        <v>1897</v>
      </c>
      <c r="O17" s="9">
        <f>SUM(H17:N17)</f>
        <v>123565.2</v>
      </c>
    </row>
    <row r="18" spans="1:15" ht="18" hidden="1" customHeight="1">
      <c r="A18" s="12" t="s">
        <v>60</v>
      </c>
      <c r="B18" s="260" t="s">
        <v>61</v>
      </c>
      <c r="C18" s="260"/>
      <c r="D18" s="20"/>
      <c r="E18" s="20"/>
      <c r="F18" s="20"/>
      <c r="G18" s="20"/>
      <c r="H18" s="19"/>
      <c r="I18" s="92"/>
      <c r="J18" s="19"/>
      <c r="K18" s="19"/>
      <c r="L18" s="19"/>
      <c r="M18" s="19"/>
      <c r="N18" s="19"/>
      <c r="O18" s="19"/>
    </row>
    <row r="19" spans="1:15" ht="15.75" hidden="1" customHeight="1">
      <c r="A19" s="12" t="s">
        <v>62</v>
      </c>
      <c r="B19" s="191" t="s">
        <v>63</v>
      </c>
      <c r="C19" s="12" t="s">
        <v>54</v>
      </c>
      <c r="D19" s="12"/>
      <c r="E19" s="12"/>
      <c r="F19" s="12"/>
      <c r="G19" s="12"/>
      <c r="H19" s="11">
        <f>SUM(H20:H22)</f>
        <v>4960648.5</v>
      </c>
      <c r="I19" s="41">
        <f>SUM(I20:I22)</f>
        <v>2903908.1999999997</v>
      </c>
      <c r="J19" s="21">
        <f>SUM(J20:J22)</f>
        <v>673</v>
      </c>
      <c r="K19" s="12"/>
      <c r="L19" s="12"/>
      <c r="M19" s="12"/>
      <c r="N19" s="12"/>
      <c r="O19" s="9">
        <f t="shared" ref="O19:O41" si="1">SUM(H19:N19)</f>
        <v>7865229.6999999993</v>
      </c>
    </row>
    <row r="20" spans="1:15" hidden="1">
      <c r="A20" s="12" t="s">
        <v>55</v>
      </c>
      <c r="B20" s="191"/>
      <c r="C20" s="12" t="s">
        <v>56</v>
      </c>
      <c r="D20" s="12"/>
      <c r="E20" s="12"/>
      <c r="F20" s="12"/>
      <c r="G20" s="12"/>
      <c r="H20" s="11">
        <v>1756093.2</v>
      </c>
      <c r="I20" s="41">
        <v>2673266.7999999998</v>
      </c>
      <c r="J20" s="19">
        <v>0</v>
      </c>
      <c r="K20" s="19"/>
      <c r="L20" s="19"/>
      <c r="M20" s="19"/>
      <c r="N20" s="19"/>
      <c r="O20" s="9">
        <f t="shared" si="1"/>
        <v>4429360</v>
      </c>
    </row>
    <row r="21" spans="1:15" hidden="1">
      <c r="A21" s="12" t="s">
        <v>57</v>
      </c>
      <c r="B21" s="191"/>
      <c r="C21" s="12" t="s">
        <v>64</v>
      </c>
      <c r="D21" s="12"/>
      <c r="E21" s="12"/>
      <c r="F21" s="12"/>
      <c r="G21" s="12"/>
      <c r="H21" s="11">
        <v>3185325</v>
      </c>
      <c r="I21" s="41">
        <v>225127.5</v>
      </c>
      <c r="J21" s="19">
        <v>673</v>
      </c>
      <c r="K21" s="19"/>
      <c r="L21" s="19"/>
      <c r="M21" s="19"/>
      <c r="N21" s="19"/>
      <c r="O21" s="9">
        <f t="shared" si="1"/>
        <v>3411125.5</v>
      </c>
    </row>
    <row r="22" spans="1:15" ht="31.5" hidden="1">
      <c r="A22" s="12" t="s">
        <v>59</v>
      </c>
      <c r="B22" s="191"/>
      <c r="C22" s="12" t="s">
        <v>22</v>
      </c>
      <c r="D22" s="12"/>
      <c r="E22" s="12"/>
      <c r="F22" s="12"/>
      <c r="G22" s="12"/>
      <c r="H22" s="11">
        <v>19230.3</v>
      </c>
      <c r="I22" s="41">
        <v>5513.9</v>
      </c>
      <c r="J22" s="19">
        <v>0</v>
      </c>
      <c r="K22" s="19"/>
      <c r="L22" s="19"/>
      <c r="M22" s="19"/>
      <c r="N22" s="19"/>
      <c r="O22" s="9">
        <f t="shared" si="1"/>
        <v>24744.199999999997</v>
      </c>
    </row>
    <row r="23" spans="1:15" ht="15.75" hidden="1" customHeight="1">
      <c r="A23" s="12" t="s">
        <v>65</v>
      </c>
      <c r="B23" s="191" t="s">
        <v>66</v>
      </c>
      <c r="C23" s="12" t="s">
        <v>54</v>
      </c>
      <c r="D23" s="12"/>
      <c r="E23" s="12"/>
      <c r="F23" s="12"/>
      <c r="G23" s="12"/>
      <c r="H23" s="22">
        <f>SUM(H24:H26)</f>
        <v>36078.699999999997</v>
      </c>
      <c r="I23" s="94">
        <f>SUM(I24:I26)</f>
        <v>31758.7</v>
      </c>
      <c r="J23" s="12"/>
      <c r="K23" s="12"/>
      <c r="L23" s="12"/>
      <c r="M23" s="12"/>
      <c r="N23" s="12"/>
      <c r="O23" s="9">
        <f t="shared" si="1"/>
        <v>67837.399999999994</v>
      </c>
    </row>
    <row r="24" spans="1:15" hidden="1">
      <c r="A24" s="12" t="s">
        <v>67</v>
      </c>
      <c r="B24" s="191"/>
      <c r="C24" s="12" t="s">
        <v>56</v>
      </c>
      <c r="D24" s="12"/>
      <c r="E24" s="12"/>
      <c r="F24" s="12"/>
      <c r="G24" s="12"/>
      <c r="H24" s="22">
        <v>34635.5</v>
      </c>
      <c r="I24" s="94">
        <v>30488.3</v>
      </c>
      <c r="J24" s="19"/>
      <c r="K24" s="19"/>
      <c r="L24" s="19"/>
      <c r="M24" s="19"/>
      <c r="N24" s="19"/>
      <c r="O24" s="9">
        <f t="shared" si="1"/>
        <v>65123.8</v>
      </c>
    </row>
    <row r="25" spans="1:15" ht="17.25" hidden="1" customHeight="1">
      <c r="A25" s="12" t="s">
        <v>68</v>
      </c>
      <c r="B25" s="191"/>
      <c r="C25" s="12" t="s">
        <v>64</v>
      </c>
      <c r="D25" s="12"/>
      <c r="E25" s="12"/>
      <c r="F25" s="12"/>
      <c r="G25" s="12"/>
      <c r="H25" s="22">
        <v>1443.2</v>
      </c>
      <c r="I25" s="94">
        <v>1270.4000000000001</v>
      </c>
      <c r="J25" s="19"/>
      <c r="K25" s="19"/>
      <c r="L25" s="19"/>
      <c r="M25" s="19"/>
      <c r="N25" s="19"/>
      <c r="O25" s="9">
        <f t="shared" si="1"/>
        <v>2713.6000000000004</v>
      </c>
    </row>
    <row r="26" spans="1:15" ht="18.75" hidden="1" customHeight="1">
      <c r="A26" s="12" t="s">
        <v>69</v>
      </c>
      <c r="B26" s="191"/>
      <c r="C26" s="12" t="s">
        <v>22</v>
      </c>
      <c r="D26" s="12"/>
      <c r="E26" s="12"/>
      <c r="F26" s="12"/>
      <c r="G26" s="12"/>
      <c r="H26" s="19"/>
      <c r="I26" s="95"/>
      <c r="J26" s="19"/>
      <c r="K26" s="19"/>
      <c r="L26" s="19"/>
      <c r="M26" s="19"/>
      <c r="N26" s="19"/>
      <c r="O26" s="9">
        <f t="shared" si="1"/>
        <v>0</v>
      </c>
    </row>
    <row r="27" spans="1:15" ht="15.75" hidden="1" customHeight="1">
      <c r="A27" s="12" t="s">
        <v>70</v>
      </c>
      <c r="B27" s="191" t="s">
        <v>71</v>
      </c>
      <c r="C27" s="12" t="s">
        <v>54</v>
      </c>
      <c r="D27" s="12"/>
      <c r="E27" s="12"/>
      <c r="F27" s="12"/>
      <c r="G27" s="12"/>
      <c r="H27" s="22">
        <f>SUM(H28:H30)</f>
        <v>215803</v>
      </c>
      <c r="I27" s="94">
        <f>SUM(I28:I30)</f>
        <v>300000</v>
      </c>
      <c r="J27" s="12"/>
      <c r="K27" s="12"/>
      <c r="L27" s="12"/>
      <c r="M27" s="12"/>
      <c r="N27" s="12"/>
      <c r="O27" s="9">
        <f t="shared" si="1"/>
        <v>515803</v>
      </c>
    </row>
    <row r="28" spans="1:15" hidden="1">
      <c r="A28" s="12" t="s">
        <v>72</v>
      </c>
      <c r="B28" s="191"/>
      <c r="C28" s="12" t="s">
        <v>56</v>
      </c>
      <c r="D28" s="12"/>
      <c r="E28" s="12"/>
      <c r="F28" s="12"/>
      <c r="G28" s="12"/>
      <c r="H28" s="19"/>
      <c r="I28" s="95"/>
      <c r="J28" s="19"/>
      <c r="K28" s="19"/>
      <c r="L28" s="19"/>
      <c r="M28" s="19"/>
      <c r="N28" s="19"/>
      <c r="O28" s="9">
        <f t="shared" si="1"/>
        <v>0</v>
      </c>
    </row>
    <row r="29" spans="1:15" hidden="1">
      <c r="A29" s="12" t="s">
        <v>73</v>
      </c>
      <c r="B29" s="191"/>
      <c r="C29" s="12" t="s">
        <v>64</v>
      </c>
      <c r="D29" s="12"/>
      <c r="E29" s="12"/>
      <c r="F29" s="12"/>
      <c r="G29" s="12"/>
      <c r="H29" s="22">
        <v>215803</v>
      </c>
      <c r="I29" s="94">
        <v>300000</v>
      </c>
      <c r="J29" s="19"/>
      <c r="K29" s="19"/>
      <c r="L29" s="19"/>
      <c r="M29" s="19"/>
      <c r="N29" s="19"/>
      <c r="O29" s="9">
        <f t="shared" si="1"/>
        <v>515803</v>
      </c>
    </row>
    <row r="30" spans="1:15" ht="31.5" hidden="1">
      <c r="A30" s="12" t="s">
        <v>74</v>
      </c>
      <c r="B30" s="191"/>
      <c r="C30" s="12" t="s">
        <v>22</v>
      </c>
      <c r="D30" s="12"/>
      <c r="E30" s="12"/>
      <c r="F30" s="12"/>
      <c r="G30" s="12"/>
      <c r="H30" s="19"/>
      <c r="I30" s="95"/>
      <c r="J30" s="19"/>
      <c r="K30" s="19"/>
      <c r="L30" s="19"/>
      <c r="M30" s="19"/>
      <c r="N30" s="19"/>
      <c r="O30" s="9">
        <f t="shared" si="1"/>
        <v>0</v>
      </c>
    </row>
    <row r="31" spans="1:15" ht="15.75" hidden="1" customHeight="1">
      <c r="A31" s="12" t="s">
        <v>75</v>
      </c>
      <c r="B31" s="191" t="s">
        <v>76</v>
      </c>
      <c r="C31" s="12" t="s">
        <v>54</v>
      </c>
      <c r="D31" s="12"/>
      <c r="E31" s="12"/>
      <c r="F31" s="12"/>
      <c r="G31" s="12"/>
      <c r="H31" s="11">
        <f t="shared" ref="H31:N31" si="2">SUM(H32:H34)</f>
        <v>47730.3</v>
      </c>
      <c r="I31" s="41">
        <f t="shared" si="2"/>
        <v>0</v>
      </c>
      <c r="J31" s="21">
        <f t="shared" si="2"/>
        <v>0</v>
      </c>
      <c r="K31" s="21">
        <f t="shared" si="2"/>
        <v>0</v>
      </c>
      <c r="L31" s="21">
        <f t="shared" si="2"/>
        <v>0</v>
      </c>
      <c r="M31" s="21">
        <f t="shared" si="2"/>
        <v>0</v>
      </c>
      <c r="N31" s="21">
        <f t="shared" si="2"/>
        <v>0</v>
      </c>
      <c r="O31" s="9">
        <f t="shared" si="1"/>
        <v>47730.3</v>
      </c>
    </row>
    <row r="32" spans="1:15" hidden="1">
      <c r="A32" s="12" t="s">
        <v>77</v>
      </c>
      <c r="B32" s="191"/>
      <c r="C32" s="12" t="s">
        <v>56</v>
      </c>
      <c r="D32" s="12"/>
      <c r="E32" s="12"/>
      <c r="F32" s="12"/>
      <c r="G32" s="12"/>
      <c r="H32" s="11">
        <v>36275</v>
      </c>
      <c r="I32" s="41"/>
      <c r="J32" s="9"/>
      <c r="K32" s="9"/>
      <c r="L32" s="9"/>
      <c r="M32" s="9"/>
      <c r="N32" s="9"/>
      <c r="O32" s="9">
        <f t="shared" si="1"/>
        <v>36275</v>
      </c>
    </row>
    <row r="33" spans="1:15" hidden="1">
      <c r="A33" s="12" t="s">
        <v>78</v>
      </c>
      <c r="B33" s="191"/>
      <c r="C33" s="12" t="s">
        <v>64</v>
      </c>
      <c r="D33" s="12"/>
      <c r="E33" s="12"/>
      <c r="F33" s="12"/>
      <c r="G33" s="12"/>
      <c r="H33" s="11">
        <v>11455.3</v>
      </c>
      <c r="I33" s="41"/>
      <c r="J33" s="9"/>
      <c r="K33" s="9"/>
      <c r="L33" s="9"/>
      <c r="M33" s="9"/>
      <c r="N33" s="9"/>
      <c r="O33" s="9">
        <f t="shared" si="1"/>
        <v>11455.3</v>
      </c>
    </row>
    <row r="34" spans="1:15" ht="31.5" hidden="1">
      <c r="A34" s="12" t="s">
        <v>79</v>
      </c>
      <c r="B34" s="191"/>
      <c r="C34" s="12" t="s">
        <v>22</v>
      </c>
      <c r="D34" s="12"/>
      <c r="E34" s="12"/>
      <c r="F34" s="12"/>
      <c r="G34" s="12"/>
      <c r="H34" s="19"/>
      <c r="I34" s="95"/>
      <c r="J34" s="19"/>
      <c r="K34" s="19"/>
      <c r="L34" s="19"/>
      <c r="M34" s="19"/>
      <c r="N34" s="19"/>
      <c r="O34" s="9">
        <f t="shared" si="1"/>
        <v>0</v>
      </c>
    </row>
    <row r="35" spans="1:15" ht="21.75" hidden="1" customHeight="1">
      <c r="B35" s="191" t="s">
        <v>80</v>
      </c>
      <c r="C35" s="12" t="s">
        <v>54</v>
      </c>
      <c r="D35" s="12"/>
      <c r="E35" s="12"/>
      <c r="F35" s="12"/>
      <c r="G35" s="12"/>
      <c r="H35" s="24">
        <f t="shared" ref="H35:N35" si="3">SUM(H36:H38)</f>
        <v>0</v>
      </c>
      <c r="I35" s="96">
        <f t="shared" si="3"/>
        <v>0</v>
      </c>
      <c r="J35" s="24">
        <f t="shared" si="3"/>
        <v>0</v>
      </c>
      <c r="K35" s="24">
        <f t="shared" si="3"/>
        <v>0</v>
      </c>
      <c r="L35" s="24">
        <f t="shared" si="3"/>
        <v>0</v>
      </c>
      <c r="M35" s="24">
        <f t="shared" si="3"/>
        <v>0</v>
      </c>
      <c r="N35" s="24">
        <f t="shared" si="3"/>
        <v>0</v>
      </c>
      <c r="O35" s="9">
        <f t="shared" si="1"/>
        <v>0</v>
      </c>
    </row>
    <row r="36" spans="1:15" ht="21.75" hidden="1" customHeight="1">
      <c r="B36" s="191"/>
      <c r="C36" s="12" t="s">
        <v>56</v>
      </c>
      <c r="D36" s="12"/>
      <c r="E36" s="12"/>
      <c r="F36" s="12"/>
      <c r="G36" s="12"/>
      <c r="H36" s="19"/>
      <c r="I36" s="95"/>
      <c r="J36" s="23"/>
      <c r="K36" s="23"/>
      <c r="L36" s="23"/>
      <c r="M36" s="23"/>
      <c r="N36" s="23"/>
      <c r="O36" s="9">
        <f t="shared" si="1"/>
        <v>0</v>
      </c>
    </row>
    <row r="37" spans="1:15" ht="17.25" hidden="1" customHeight="1">
      <c r="B37" s="191"/>
      <c r="C37" s="12" t="s">
        <v>64</v>
      </c>
      <c r="D37" s="12"/>
      <c r="E37" s="12"/>
      <c r="F37" s="12"/>
      <c r="G37" s="12"/>
      <c r="H37" s="19"/>
      <c r="I37" s="95"/>
      <c r="J37" s="23"/>
      <c r="K37" s="23"/>
      <c r="L37" s="23"/>
      <c r="M37" s="23"/>
      <c r="N37" s="23"/>
      <c r="O37" s="9">
        <f t="shared" si="1"/>
        <v>0</v>
      </c>
    </row>
    <row r="38" spans="1:15" ht="21" hidden="1" customHeight="1">
      <c r="B38" s="191"/>
      <c r="C38" s="12" t="s">
        <v>22</v>
      </c>
      <c r="D38" s="12"/>
      <c r="E38" s="12"/>
      <c r="F38" s="12"/>
      <c r="G38" s="12"/>
      <c r="H38" s="19"/>
      <c r="I38" s="95"/>
      <c r="J38" s="23"/>
      <c r="K38" s="23"/>
      <c r="L38" s="23"/>
      <c r="M38" s="23"/>
      <c r="N38" s="23"/>
      <c r="O38" s="9">
        <f t="shared" si="1"/>
        <v>0</v>
      </c>
    </row>
    <row r="39" spans="1:15" ht="15.75" hidden="1" customHeight="1">
      <c r="A39" s="12" t="s">
        <v>81</v>
      </c>
      <c r="B39" s="191" t="s">
        <v>82</v>
      </c>
      <c r="C39" s="12" t="s">
        <v>54</v>
      </c>
      <c r="D39" s="12"/>
      <c r="E39" s="12"/>
      <c r="F39" s="12"/>
      <c r="G39" s="12"/>
      <c r="H39" s="11">
        <f t="shared" ref="H39:N39" si="4">SUM(H40:H42)</f>
        <v>271576.09999999998</v>
      </c>
      <c r="I39" s="41">
        <f t="shared" si="4"/>
        <v>974248</v>
      </c>
      <c r="J39" s="21">
        <f t="shared" si="4"/>
        <v>2271457</v>
      </c>
      <c r="K39" s="21">
        <f t="shared" si="4"/>
        <v>3349870</v>
      </c>
      <c r="L39" s="21">
        <f t="shared" si="4"/>
        <v>4662007</v>
      </c>
      <c r="M39" s="21">
        <f t="shared" si="4"/>
        <v>4148050</v>
      </c>
      <c r="N39" s="21">
        <f t="shared" si="4"/>
        <v>4794557</v>
      </c>
      <c r="O39" s="9">
        <f t="shared" si="1"/>
        <v>20471765.100000001</v>
      </c>
    </row>
    <row r="40" spans="1:15" hidden="1">
      <c r="A40" s="12" t="s">
        <v>83</v>
      </c>
      <c r="B40" s="191"/>
      <c r="C40" s="12" t="s">
        <v>56</v>
      </c>
      <c r="D40" s="12"/>
      <c r="E40" s="12"/>
      <c r="F40" s="12"/>
      <c r="G40" s="12"/>
      <c r="H40" s="11">
        <v>23743.7</v>
      </c>
      <c r="I40" s="41">
        <v>0</v>
      </c>
      <c r="J40" s="9">
        <v>0</v>
      </c>
      <c r="K40" s="9">
        <v>1067524</v>
      </c>
      <c r="L40" s="9">
        <v>2287340</v>
      </c>
      <c r="M40" s="9">
        <v>1480000</v>
      </c>
      <c r="N40" s="9">
        <v>1778445.7</v>
      </c>
      <c r="O40" s="9">
        <f t="shared" si="1"/>
        <v>6637053.4000000004</v>
      </c>
    </row>
    <row r="41" spans="1:15" hidden="1">
      <c r="A41" s="12" t="s">
        <v>84</v>
      </c>
      <c r="B41" s="191"/>
      <c r="C41" s="12" t="s">
        <v>64</v>
      </c>
      <c r="D41" s="12"/>
      <c r="E41" s="12"/>
      <c r="F41" s="12"/>
      <c r="G41" s="12"/>
      <c r="H41" s="11">
        <v>247832.4</v>
      </c>
      <c r="I41" s="41">
        <v>974248</v>
      </c>
      <c r="J41" s="9">
        <v>2271457</v>
      </c>
      <c r="K41" s="9">
        <v>2282346</v>
      </c>
      <c r="L41" s="9">
        <v>2374667</v>
      </c>
      <c r="M41" s="9">
        <v>2668050</v>
      </c>
      <c r="N41" s="9">
        <v>3016111.3</v>
      </c>
      <c r="O41" s="9">
        <f t="shared" si="1"/>
        <v>13834711.699999999</v>
      </c>
    </row>
    <row r="42" spans="1:15" ht="31.5" hidden="1">
      <c r="A42" s="12" t="s">
        <v>85</v>
      </c>
      <c r="B42" s="191"/>
      <c r="C42" s="12" t="s">
        <v>22</v>
      </c>
      <c r="D42" s="12"/>
      <c r="E42" s="12"/>
      <c r="F42" s="12"/>
      <c r="G42" s="12"/>
      <c r="H42" s="19"/>
      <c r="I42" s="41"/>
      <c r="J42" s="9"/>
      <c r="K42" s="9"/>
      <c r="L42" s="9"/>
      <c r="M42" s="9"/>
      <c r="N42" s="9"/>
      <c r="O42" s="9"/>
    </row>
    <row r="43" spans="1:15" ht="15.75" hidden="1" customHeight="1">
      <c r="A43" s="12" t="s">
        <v>86</v>
      </c>
      <c r="B43" s="191" t="s">
        <v>87</v>
      </c>
      <c r="C43" s="12" t="s">
        <v>54</v>
      </c>
      <c r="D43" s="12"/>
      <c r="E43" s="12"/>
      <c r="F43" s="12"/>
      <c r="G43" s="12"/>
      <c r="H43" s="9">
        <f t="shared" ref="H43:N43" si="5">SUM(H44:H46)</f>
        <v>6693344.0999999996</v>
      </c>
      <c r="I43" s="93">
        <f t="shared" si="5"/>
        <v>9258678.0999999996</v>
      </c>
      <c r="J43" s="9">
        <f t="shared" si="5"/>
        <v>11218519</v>
      </c>
      <c r="K43" s="9">
        <f t="shared" si="5"/>
        <v>11511567</v>
      </c>
      <c r="L43" s="9">
        <f t="shared" si="5"/>
        <v>11711567</v>
      </c>
      <c r="M43" s="9">
        <f t="shared" si="5"/>
        <v>11911567</v>
      </c>
      <c r="N43" s="9">
        <f t="shared" si="5"/>
        <v>12111567</v>
      </c>
      <c r="O43" s="9">
        <f t="shared" ref="O43:O54" si="6">SUM(H43:N43)</f>
        <v>74416809.200000003</v>
      </c>
    </row>
    <row r="44" spans="1:15" hidden="1">
      <c r="A44" s="12" t="s">
        <v>88</v>
      </c>
      <c r="B44" s="191"/>
      <c r="C44" s="12" t="s">
        <v>56</v>
      </c>
      <c r="D44" s="12"/>
      <c r="E44" s="12"/>
      <c r="F44" s="12"/>
      <c r="G44" s="12"/>
      <c r="H44" s="19">
        <v>0</v>
      </c>
      <c r="I44" s="92">
        <v>0</v>
      </c>
      <c r="J44" s="19">
        <v>0</v>
      </c>
      <c r="K44" s="19">
        <v>0</v>
      </c>
      <c r="L44" s="19">
        <v>0</v>
      </c>
      <c r="M44" s="19">
        <v>0</v>
      </c>
      <c r="N44" s="19">
        <v>0</v>
      </c>
      <c r="O44" s="9">
        <f t="shared" si="6"/>
        <v>0</v>
      </c>
    </row>
    <row r="45" spans="1:15" hidden="1">
      <c r="A45" s="12" t="s">
        <v>89</v>
      </c>
      <c r="B45" s="191"/>
      <c r="C45" s="12" t="s">
        <v>64</v>
      </c>
      <c r="D45" s="12"/>
      <c r="E45" s="12"/>
      <c r="F45" s="12"/>
      <c r="G45" s="12"/>
      <c r="H45" s="11">
        <v>6607802.0999999996</v>
      </c>
      <c r="I45" s="37">
        <v>9258678.0999999996</v>
      </c>
      <c r="J45" s="11">
        <v>11218519</v>
      </c>
      <c r="K45" s="11">
        <v>11511567</v>
      </c>
      <c r="L45" s="11">
        <v>11711567</v>
      </c>
      <c r="M45" s="11">
        <v>11911567</v>
      </c>
      <c r="N45" s="21">
        <v>12111567</v>
      </c>
      <c r="O45" s="11">
        <f t="shared" si="6"/>
        <v>74331267.200000003</v>
      </c>
    </row>
    <row r="46" spans="1:15" ht="31.5" hidden="1">
      <c r="A46" s="12" t="s">
        <v>90</v>
      </c>
      <c r="B46" s="191"/>
      <c r="C46" s="12" t="s">
        <v>22</v>
      </c>
      <c r="D46" s="12"/>
      <c r="E46" s="12"/>
      <c r="F46" s="12"/>
      <c r="G46" s="12"/>
      <c r="H46" s="11">
        <v>85542</v>
      </c>
      <c r="I46" s="37">
        <v>0</v>
      </c>
      <c r="J46" s="11">
        <v>0</v>
      </c>
      <c r="K46" s="11">
        <v>0</v>
      </c>
      <c r="L46" s="11">
        <v>0</v>
      </c>
      <c r="M46" s="11">
        <v>0</v>
      </c>
      <c r="N46" s="21">
        <v>0</v>
      </c>
      <c r="O46" s="11">
        <f t="shared" si="6"/>
        <v>85542</v>
      </c>
    </row>
    <row r="47" spans="1:15" ht="16.5" hidden="1" customHeight="1">
      <c r="A47" s="12" t="s">
        <v>91</v>
      </c>
      <c r="B47" s="191" t="s">
        <v>92</v>
      </c>
      <c r="C47" s="12" t="s">
        <v>54</v>
      </c>
      <c r="D47" s="12"/>
      <c r="E47" s="12"/>
      <c r="F47" s="12"/>
      <c r="G47" s="12"/>
      <c r="H47" s="9">
        <f t="shared" ref="H47:N47" si="7">SUM(H48:H50)</f>
        <v>1287753</v>
      </c>
      <c r="I47" s="93">
        <f t="shared" si="7"/>
        <v>1287887.7</v>
      </c>
      <c r="J47" s="9">
        <f t="shared" si="7"/>
        <v>1287887.7</v>
      </c>
      <c r="K47" s="9">
        <f t="shared" si="7"/>
        <v>1287887.7</v>
      </c>
      <c r="L47" s="9">
        <f t="shared" si="7"/>
        <v>1287887.7</v>
      </c>
      <c r="M47" s="9">
        <f t="shared" si="7"/>
        <v>1287887.7</v>
      </c>
      <c r="N47" s="9">
        <f t="shared" si="7"/>
        <v>1287887.7</v>
      </c>
      <c r="O47" s="9">
        <f t="shared" si="6"/>
        <v>9015079.2000000011</v>
      </c>
    </row>
    <row r="48" spans="1:15" hidden="1">
      <c r="A48" s="12" t="s">
        <v>93</v>
      </c>
      <c r="B48" s="191"/>
      <c r="C48" s="12" t="s">
        <v>56</v>
      </c>
      <c r="D48" s="12"/>
      <c r="E48" s="12"/>
      <c r="F48" s="12"/>
      <c r="G48" s="12"/>
      <c r="H48" s="19"/>
      <c r="I48" s="92"/>
      <c r="J48" s="19"/>
      <c r="K48" s="19"/>
      <c r="L48" s="19"/>
      <c r="M48" s="19"/>
      <c r="N48" s="19"/>
      <c r="O48" s="9">
        <f t="shared" si="6"/>
        <v>0</v>
      </c>
    </row>
    <row r="49" spans="1:24" ht="18" hidden="1" customHeight="1">
      <c r="A49" s="12" t="s">
        <v>94</v>
      </c>
      <c r="B49" s="191"/>
      <c r="C49" s="12" t="s">
        <v>64</v>
      </c>
      <c r="D49" s="12"/>
      <c r="E49" s="12"/>
      <c r="F49" s="12"/>
      <c r="G49" s="12"/>
      <c r="H49" s="11">
        <v>1285856</v>
      </c>
      <c r="I49" s="37">
        <v>1285990.7</v>
      </c>
      <c r="J49" s="11">
        <v>1285990.7</v>
      </c>
      <c r="K49" s="11">
        <v>1285990.7</v>
      </c>
      <c r="L49" s="11">
        <v>1285990.7</v>
      </c>
      <c r="M49" s="11">
        <v>1285990.7</v>
      </c>
      <c r="N49" s="11">
        <v>1285990.7</v>
      </c>
      <c r="O49" s="9">
        <f t="shared" si="6"/>
        <v>9001800.2000000011</v>
      </c>
    </row>
    <row r="50" spans="1:24" ht="31.5" hidden="1">
      <c r="A50" s="12" t="s">
        <v>95</v>
      </c>
      <c r="B50" s="191"/>
      <c r="C50" s="12" t="s">
        <v>22</v>
      </c>
      <c r="D50" s="12"/>
      <c r="E50" s="12"/>
      <c r="F50" s="12"/>
      <c r="G50" s="12"/>
      <c r="H50" s="11">
        <v>1897</v>
      </c>
      <c r="I50" s="37">
        <v>1897</v>
      </c>
      <c r="J50" s="19">
        <v>1897</v>
      </c>
      <c r="K50" s="19">
        <v>1897</v>
      </c>
      <c r="L50" s="19">
        <v>1897</v>
      </c>
      <c r="M50" s="19">
        <v>1897</v>
      </c>
      <c r="N50" s="19">
        <v>1897</v>
      </c>
      <c r="O50" s="9">
        <f t="shared" si="6"/>
        <v>13279</v>
      </c>
    </row>
    <row r="51" spans="1:24" ht="20.25" hidden="1" customHeight="1">
      <c r="A51" s="12" t="s">
        <v>96</v>
      </c>
      <c r="B51" s="191" t="s">
        <v>97</v>
      </c>
      <c r="C51" s="12" t="s">
        <v>54</v>
      </c>
      <c r="D51" s="12"/>
      <c r="E51" s="12"/>
      <c r="F51" s="12"/>
      <c r="G51" s="12"/>
      <c r="H51" s="11">
        <f t="shared" ref="H51:N51" si="8">SUM(H52:H54)</f>
        <v>217102.3</v>
      </c>
      <c r="I51" s="37">
        <f t="shared" si="8"/>
        <v>224474.1</v>
      </c>
      <c r="J51" s="11">
        <f t="shared" si="8"/>
        <v>233453.1</v>
      </c>
      <c r="K51" s="11">
        <f t="shared" si="8"/>
        <v>242791.2</v>
      </c>
      <c r="L51" s="11">
        <f t="shared" si="8"/>
        <v>252502.8</v>
      </c>
      <c r="M51" s="11">
        <f t="shared" si="8"/>
        <v>262602.90000000002</v>
      </c>
      <c r="N51" s="11">
        <f t="shared" si="8"/>
        <v>273107.09999999998</v>
      </c>
      <c r="O51" s="9">
        <f t="shared" si="6"/>
        <v>1706033.5</v>
      </c>
    </row>
    <row r="52" spans="1:24" ht="22.5" hidden="1" customHeight="1">
      <c r="A52" s="12" t="s">
        <v>98</v>
      </c>
      <c r="B52" s="191"/>
      <c r="C52" s="12" t="s">
        <v>56</v>
      </c>
      <c r="D52" s="12"/>
      <c r="E52" s="12"/>
      <c r="F52" s="12"/>
      <c r="G52" s="12"/>
      <c r="H52" s="19"/>
      <c r="I52" s="92"/>
      <c r="J52" s="19"/>
      <c r="K52" s="19"/>
      <c r="L52" s="19"/>
      <c r="M52" s="19"/>
      <c r="N52" s="19"/>
      <c r="O52" s="9">
        <f t="shared" si="6"/>
        <v>0</v>
      </c>
    </row>
    <row r="53" spans="1:24" ht="19.5" hidden="1" customHeight="1">
      <c r="A53" s="12" t="s">
        <v>99</v>
      </c>
      <c r="B53" s="191"/>
      <c r="C53" s="12" t="s">
        <v>64</v>
      </c>
      <c r="D53" s="12"/>
      <c r="E53" s="12"/>
      <c r="F53" s="12"/>
      <c r="G53" s="12"/>
      <c r="H53" s="11">
        <v>217102.3</v>
      </c>
      <c r="I53" s="37">
        <v>224474.1</v>
      </c>
      <c r="J53" s="11">
        <v>233453.1</v>
      </c>
      <c r="K53" s="11">
        <v>242791.2</v>
      </c>
      <c r="L53" s="11">
        <v>252502.8</v>
      </c>
      <c r="M53" s="11">
        <v>262602.90000000002</v>
      </c>
      <c r="N53" s="11">
        <v>273107.09999999998</v>
      </c>
      <c r="O53" s="9">
        <f t="shared" si="6"/>
        <v>1706033.5</v>
      </c>
    </row>
    <row r="54" spans="1:24" ht="19.5" hidden="1" customHeight="1">
      <c r="A54" s="12" t="s">
        <v>100</v>
      </c>
      <c r="B54" s="191"/>
      <c r="C54" s="12" t="s">
        <v>22</v>
      </c>
      <c r="D54" s="12"/>
      <c r="E54" s="12"/>
      <c r="F54" s="12"/>
      <c r="G54" s="12"/>
      <c r="H54" s="19"/>
      <c r="I54" s="92"/>
      <c r="J54" s="19"/>
      <c r="K54" s="19"/>
      <c r="L54" s="19"/>
      <c r="M54" s="19"/>
      <c r="N54" s="19"/>
      <c r="O54" s="9">
        <f t="shared" si="6"/>
        <v>0</v>
      </c>
    </row>
    <row r="55" spans="1:24" ht="20.25" hidden="1" customHeight="1">
      <c r="A55" s="25"/>
      <c r="B55" s="25"/>
      <c r="C55" s="25"/>
      <c r="D55" s="25"/>
      <c r="E55" s="25"/>
      <c r="F55" s="25"/>
      <c r="G55" s="25"/>
      <c r="H55" s="25"/>
      <c r="I55" s="97"/>
      <c r="J55" s="25"/>
      <c r="K55" s="25"/>
      <c r="L55" s="25"/>
      <c r="M55" s="25"/>
      <c r="N55" s="25"/>
      <c r="O55" s="25"/>
    </row>
    <row r="56" spans="1:24" ht="17.25" customHeight="1">
      <c r="H56" s="26">
        <f>H62-'[2]5. Финансовое обеспечение ГП'!$H$56</f>
        <v>90524.064000001177</v>
      </c>
      <c r="I56" s="98">
        <f>I62-'[2]5. Финансовое обеспечение ГП'!$I$56</f>
        <v>1671325.6000000015</v>
      </c>
      <c r="J56" s="26">
        <f>J62-'[2]5. Финансовое обеспечение ГП'!$J$56</f>
        <v>1962635.5</v>
      </c>
      <c r="K56" s="26">
        <f>K62-'[2]5. Финансовое обеспечение ГП'!$K$56</f>
        <v>3064419.407999998</v>
      </c>
      <c r="L56" s="26">
        <f>L62-'[2]5. Финансовое обеспечение ГП'!$L$56</f>
        <v>-1701641.5276799984</v>
      </c>
      <c r="M56" s="26">
        <f>M62-'[2]5. Финансовое обеспечение ГП'!$M$56</f>
        <v>271564.66721279919</v>
      </c>
      <c r="N56" s="26">
        <f>N62-'[2]5. Финансовое обеспечение ГП'!$N$56</f>
        <v>245895.3179012984</v>
      </c>
      <c r="O56" s="26">
        <f>O62-'[2]5. Финансовое обеспечение ГП'!$O$56</f>
        <v>5604722.9294340163</v>
      </c>
    </row>
    <row r="57" spans="1:24" ht="24" customHeight="1">
      <c r="A57" s="256" t="s">
        <v>101</v>
      </c>
      <c r="B57" s="256" t="s">
        <v>42</v>
      </c>
      <c r="C57" s="256" t="s">
        <v>102</v>
      </c>
      <c r="D57" s="256" t="s">
        <v>103</v>
      </c>
      <c r="E57" s="256"/>
      <c r="F57" s="256"/>
      <c r="G57" s="256"/>
      <c r="H57" s="256" t="s">
        <v>104</v>
      </c>
      <c r="I57" s="256"/>
      <c r="J57" s="256"/>
      <c r="K57" s="256"/>
      <c r="L57" s="256"/>
      <c r="M57" s="256"/>
      <c r="N57" s="256"/>
      <c r="O57" s="256"/>
    </row>
    <row r="58" spans="1:24" ht="25.5" customHeight="1">
      <c r="A58" s="256"/>
      <c r="B58" s="256"/>
      <c r="C58" s="256"/>
      <c r="D58" s="256" t="s">
        <v>105</v>
      </c>
      <c r="E58" s="256"/>
      <c r="F58" s="256"/>
      <c r="G58" s="256"/>
      <c r="H58" s="114" t="s">
        <v>44</v>
      </c>
      <c r="I58" s="99" t="s">
        <v>45</v>
      </c>
      <c r="J58" s="114" t="s">
        <v>46</v>
      </c>
      <c r="K58" s="114" t="s">
        <v>47</v>
      </c>
      <c r="L58" s="114" t="s">
        <v>48</v>
      </c>
      <c r="M58" s="114" t="s">
        <v>49</v>
      </c>
      <c r="N58" s="114" t="s">
        <v>50</v>
      </c>
      <c r="O58" s="114" t="s">
        <v>51</v>
      </c>
    </row>
    <row r="59" spans="1:24" ht="19.5" customHeight="1">
      <c r="A59" s="114">
        <v>1</v>
      </c>
      <c r="B59" s="114"/>
      <c r="C59" s="114">
        <v>2</v>
      </c>
      <c r="D59" s="114">
        <v>3</v>
      </c>
      <c r="E59" s="114">
        <v>4</v>
      </c>
      <c r="F59" s="114">
        <v>5</v>
      </c>
      <c r="G59" s="114">
        <v>6</v>
      </c>
      <c r="H59" s="114">
        <v>7</v>
      </c>
      <c r="I59" s="99">
        <v>8</v>
      </c>
      <c r="J59" s="114">
        <v>9</v>
      </c>
      <c r="K59" s="114">
        <v>10</v>
      </c>
      <c r="L59" s="114">
        <v>11</v>
      </c>
      <c r="M59" s="114">
        <v>12</v>
      </c>
      <c r="N59" s="114">
        <v>13</v>
      </c>
      <c r="O59" s="114">
        <v>14</v>
      </c>
    </row>
    <row r="60" spans="1:24" ht="24" customHeight="1">
      <c r="A60" s="266"/>
      <c r="B60" s="117"/>
      <c r="C60" s="269" t="s">
        <v>53</v>
      </c>
      <c r="D60" s="269"/>
      <c r="E60" s="269"/>
      <c r="F60" s="269"/>
      <c r="G60" s="269"/>
      <c r="H60" s="269"/>
      <c r="I60" s="269"/>
      <c r="J60" s="269"/>
      <c r="K60" s="269"/>
      <c r="L60" s="269"/>
      <c r="M60" s="269"/>
      <c r="N60" s="269"/>
      <c r="O60" s="269"/>
    </row>
    <row r="61" spans="1:24" ht="27" customHeight="1">
      <c r="A61" s="267"/>
      <c r="B61" s="117"/>
      <c r="C61" s="115" t="s">
        <v>54</v>
      </c>
      <c r="D61" s="115"/>
      <c r="E61" s="115"/>
      <c r="F61" s="115"/>
      <c r="G61" s="115"/>
      <c r="H61" s="27">
        <f t="shared" ref="H61:N61" si="9">H62+H68+H70</f>
        <v>13380152.464</v>
      </c>
      <c r="I61" s="100">
        <f>I62+I68+I70</f>
        <v>17406579.300000001</v>
      </c>
      <c r="J61" s="27">
        <f>J62+J68+J70</f>
        <v>18247935.5</v>
      </c>
      <c r="K61" s="27">
        <f t="shared" si="9"/>
        <v>19228629.199999999</v>
      </c>
      <c r="L61" s="27">
        <f t="shared" si="9"/>
        <v>15149840.74</v>
      </c>
      <c r="M61" s="27">
        <f t="shared" si="9"/>
        <v>18128440.005599998</v>
      </c>
      <c r="N61" s="27">
        <f t="shared" si="9"/>
        <v>18449761.029823996</v>
      </c>
      <c r="O61" s="27">
        <f>SUM(H61:N61)</f>
        <v>119991338.23942399</v>
      </c>
      <c r="Q61" s="13">
        <v>2024</v>
      </c>
      <c r="R61" s="13">
        <v>2025</v>
      </c>
      <c r="S61" s="13">
        <v>2026</v>
      </c>
      <c r="T61" s="13">
        <v>2027</v>
      </c>
      <c r="U61" s="13">
        <v>2028</v>
      </c>
      <c r="V61" s="13">
        <v>2029</v>
      </c>
      <c r="W61" s="13">
        <v>2030</v>
      </c>
      <c r="X61" s="28" t="s">
        <v>106</v>
      </c>
    </row>
    <row r="62" spans="1:24" ht="18" customHeight="1">
      <c r="A62" s="267"/>
      <c r="B62" s="270" t="s">
        <v>107</v>
      </c>
      <c r="C62" s="112" t="s">
        <v>15</v>
      </c>
      <c r="D62" s="113">
        <v>828</v>
      </c>
      <c r="E62" s="113"/>
      <c r="F62" s="36"/>
      <c r="G62" s="113"/>
      <c r="H62" s="37">
        <f>H73+H100+H111+H121+H131+H140+H159+H187+H211</f>
        <v>13217959.9</v>
      </c>
      <c r="I62" s="37">
        <f>I81+I101+I112+I121+I140+I159+I187+I211</f>
        <v>17203932.800000001</v>
      </c>
      <c r="J62" s="37">
        <f>J81+J101+J112+J121+J140+J159+J187+J211</f>
        <v>17974080.199999999</v>
      </c>
      <c r="K62" s="37">
        <f>K81+K101+K112+K121+K140+K159+K187+K211</f>
        <v>19193272.399999999</v>
      </c>
      <c r="L62" s="37">
        <f>L81+L101+L112+L121+L140+L159+L187+L211</f>
        <v>15148366.84</v>
      </c>
      <c r="M62" s="37">
        <f>M81+M101+M111+M121+M131+M140+M159+M187+M211</f>
        <v>18126966.105599999</v>
      </c>
      <c r="N62" s="37">
        <f>N81+N101+N111+N121+N131+N140+N159+N187+N211</f>
        <v>18448287.129823998</v>
      </c>
      <c r="O62" s="37">
        <f>SUM(H62:N62)-0.1</f>
        <v>119312865.27542402</v>
      </c>
      <c r="Q62" s="29">
        <f>O62+O68+O70</f>
        <v>119991338.13942401</v>
      </c>
    </row>
    <row r="63" spans="1:24" ht="31.5">
      <c r="A63" s="267"/>
      <c r="B63" s="270"/>
      <c r="C63" s="112" t="s">
        <v>17</v>
      </c>
      <c r="D63" s="38"/>
      <c r="E63" s="38"/>
      <c r="F63" s="38"/>
      <c r="G63" s="38"/>
      <c r="H63" s="37">
        <f t="shared" ref="H63:N63" si="10">H91+H102+H113+H122+H132+H150+H178+H202+H216</f>
        <v>69046</v>
      </c>
      <c r="I63" s="37">
        <f t="shared" si="10"/>
        <v>3886664.7</v>
      </c>
      <c r="J63" s="37">
        <f t="shared" si="10"/>
        <v>3165913.1</v>
      </c>
      <c r="K63" s="37">
        <f t="shared" si="10"/>
        <v>4204706.9000000004</v>
      </c>
      <c r="L63" s="37">
        <f t="shared" si="10"/>
        <v>0</v>
      </c>
      <c r="M63" s="37">
        <f t="shared" si="10"/>
        <v>0</v>
      </c>
      <c r="N63" s="37">
        <f t="shared" si="10"/>
        <v>0</v>
      </c>
      <c r="O63" s="37">
        <f>SUM(H63:N63)</f>
        <v>11326330.700000001</v>
      </c>
      <c r="R63" s="29">
        <f>O62-O63</f>
        <v>107986534.57542402</v>
      </c>
      <c r="S63" s="29">
        <f>O61-O187-O211</f>
        <v>105463088.76399998</v>
      </c>
      <c r="T63" s="29"/>
    </row>
    <row r="64" spans="1:24" ht="33.75" customHeight="1">
      <c r="A64" s="267"/>
      <c r="B64" s="270"/>
      <c r="C64" s="112" t="s">
        <v>18</v>
      </c>
      <c r="D64" s="38"/>
      <c r="E64" s="38"/>
      <c r="F64" s="38"/>
      <c r="G64" s="38"/>
      <c r="H64" s="37"/>
      <c r="I64" s="37"/>
      <c r="J64" s="37"/>
      <c r="K64" s="37"/>
      <c r="L64" s="37"/>
      <c r="M64" s="37"/>
      <c r="N64" s="37"/>
      <c r="O64" s="37"/>
      <c r="Q64" s="29"/>
      <c r="S64" s="33">
        <f>S63-H61+H187+H211</f>
        <v>94032911.199999988</v>
      </c>
    </row>
    <row r="65" spans="1:24" ht="23.25" customHeight="1">
      <c r="A65" s="267"/>
      <c r="B65" s="270"/>
      <c r="C65" s="39" t="s">
        <v>109</v>
      </c>
      <c r="D65" s="38"/>
      <c r="E65" s="38"/>
      <c r="F65" s="38"/>
      <c r="G65" s="38"/>
      <c r="H65" s="37">
        <f t="shared" ref="H65:O65" si="11">H93+H104+H115+H124+H152+H180+H204+H218</f>
        <v>4201883.5</v>
      </c>
      <c r="I65" s="37">
        <f t="shared" si="11"/>
        <v>3597499.5999999996</v>
      </c>
      <c r="J65" s="37">
        <f t="shared" si="11"/>
        <v>4137905.5</v>
      </c>
      <c r="K65" s="37">
        <f t="shared" si="11"/>
        <v>591534.00000000012</v>
      </c>
      <c r="L65" s="37">
        <f t="shared" si="11"/>
        <v>41278.9</v>
      </c>
      <c r="M65" s="37">
        <f t="shared" si="11"/>
        <v>41278.9</v>
      </c>
      <c r="N65" s="37">
        <f t="shared" si="11"/>
        <v>41278.9</v>
      </c>
      <c r="O65" s="37">
        <f t="shared" si="11"/>
        <v>12652659.299999999</v>
      </c>
      <c r="Q65" s="29"/>
    </row>
    <row r="66" spans="1:24" ht="63">
      <c r="A66" s="267"/>
      <c r="B66" s="270"/>
      <c r="C66" s="112" t="s">
        <v>20</v>
      </c>
      <c r="D66" s="38"/>
      <c r="E66" s="38"/>
      <c r="F66" s="38"/>
      <c r="G66" s="38"/>
      <c r="H66" s="37"/>
      <c r="I66" s="37"/>
      <c r="J66" s="37"/>
      <c r="K66" s="37"/>
      <c r="L66" s="37"/>
      <c r="M66" s="37"/>
      <c r="N66" s="37"/>
      <c r="O66" s="37"/>
    </row>
    <row r="67" spans="1:24" ht="48" customHeight="1">
      <c r="A67" s="267"/>
      <c r="B67" s="270"/>
      <c r="C67" s="112" t="s">
        <v>21</v>
      </c>
      <c r="D67" s="38"/>
      <c r="E67" s="38"/>
      <c r="F67" s="38"/>
      <c r="G67" s="38"/>
      <c r="H67" s="37"/>
      <c r="I67" s="37"/>
      <c r="J67" s="37"/>
      <c r="K67" s="37"/>
      <c r="L67" s="37"/>
      <c r="M67" s="37"/>
      <c r="N67" s="37"/>
      <c r="O67" s="37"/>
    </row>
    <row r="68" spans="1:24" ht="22.5" hidden="1" customHeight="1">
      <c r="A68" s="267"/>
      <c r="B68" s="270"/>
      <c r="C68" s="75" t="s">
        <v>202</v>
      </c>
      <c r="D68" s="81"/>
      <c r="E68" s="81"/>
      <c r="F68" s="81"/>
      <c r="G68" s="81"/>
      <c r="H68" s="77">
        <f t="shared" ref="H68:N68" si="12">H96+H107+H127+H155+H183+H207</f>
        <v>157725.96400000001</v>
      </c>
      <c r="I68" s="77">
        <f t="shared" si="12"/>
        <v>202646.49999999997</v>
      </c>
      <c r="J68" s="77">
        <f t="shared" si="12"/>
        <v>263129.8</v>
      </c>
      <c r="K68" s="77">
        <f t="shared" si="12"/>
        <v>35356.799999999996</v>
      </c>
      <c r="L68" s="77">
        <f t="shared" si="12"/>
        <v>1473.9</v>
      </c>
      <c r="M68" s="77">
        <f t="shared" si="12"/>
        <v>1473.9</v>
      </c>
      <c r="N68" s="77">
        <f t="shared" si="12"/>
        <v>1473.9</v>
      </c>
      <c r="O68" s="77">
        <f>SUM(H68:N68)</f>
        <v>663280.76400000008</v>
      </c>
    </row>
    <row r="69" spans="1:24" ht="22.5" customHeight="1">
      <c r="A69" s="267"/>
      <c r="B69" s="270"/>
      <c r="C69" s="112" t="s">
        <v>22</v>
      </c>
      <c r="D69" s="38"/>
      <c r="E69" s="38"/>
      <c r="F69" s="38"/>
      <c r="G69" s="38"/>
      <c r="H69" s="37">
        <f>H65+H68</f>
        <v>4359609.4639999997</v>
      </c>
      <c r="I69" s="37">
        <f>I65+I68</f>
        <v>3800146.0999999996</v>
      </c>
      <c r="J69" s="37">
        <f>J65+J68</f>
        <v>4401035.3</v>
      </c>
      <c r="K69" s="37">
        <f t="shared" ref="K69:O69" si="13">K65+K68</f>
        <v>626890.80000000016</v>
      </c>
      <c r="L69" s="37">
        <f t="shared" si="13"/>
        <v>42752.800000000003</v>
      </c>
      <c r="M69" s="37">
        <f t="shared" si="13"/>
        <v>42752.800000000003</v>
      </c>
      <c r="N69" s="37">
        <f t="shared" si="13"/>
        <v>42752.800000000003</v>
      </c>
      <c r="O69" s="37">
        <f t="shared" si="13"/>
        <v>13315940.063999999</v>
      </c>
    </row>
    <row r="70" spans="1:24" ht="18.75" customHeight="1">
      <c r="A70" s="267"/>
      <c r="B70" s="270"/>
      <c r="C70" s="112" t="s">
        <v>23</v>
      </c>
      <c r="D70" s="38"/>
      <c r="E70" s="38"/>
      <c r="F70" s="38"/>
      <c r="G70" s="38"/>
      <c r="H70" s="37">
        <f>H129</f>
        <v>4466.6000000000004</v>
      </c>
      <c r="I70" s="37"/>
      <c r="J70" s="37">
        <f>J129</f>
        <v>10725.5</v>
      </c>
      <c r="K70" s="37"/>
      <c r="L70" s="37"/>
      <c r="M70" s="37"/>
      <c r="N70" s="37"/>
      <c r="O70" s="37">
        <f>SUM(H70:N70)</f>
        <v>15192.1</v>
      </c>
    </row>
    <row r="71" spans="1:24" ht="19.5" customHeight="1">
      <c r="A71" s="268"/>
      <c r="B71" s="270"/>
      <c r="C71" s="112" t="s">
        <v>24</v>
      </c>
      <c r="D71" s="38"/>
      <c r="E71" s="38"/>
      <c r="F71" s="38"/>
      <c r="G71" s="38"/>
      <c r="H71" s="37"/>
      <c r="I71" s="37"/>
      <c r="J71" s="37"/>
      <c r="K71" s="37"/>
      <c r="L71" s="37"/>
      <c r="M71" s="37"/>
      <c r="N71" s="37"/>
      <c r="O71" s="37"/>
    </row>
    <row r="72" spans="1:24" ht="23.25" customHeight="1">
      <c r="A72" s="244" t="s">
        <v>52</v>
      </c>
      <c r="B72" s="112"/>
      <c r="C72" s="242" t="s">
        <v>110</v>
      </c>
      <c r="D72" s="242"/>
      <c r="E72" s="242"/>
      <c r="F72" s="242"/>
      <c r="G72" s="242"/>
      <c r="H72" s="242"/>
      <c r="I72" s="242"/>
      <c r="J72" s="242"/>
      <c r="K72" s="242"/>
      <c r="L72" s="242"/>
      <c r="M72" s="242"/>
      <c r="N72" s="242"/>
      <c r="O72" s="242"/>
      <c r="X72" s="28"/>
    </row>
    <row r="73" spans="1:24" ht="18.75" customHeight="1">
      <c r="A73" s="245"/>
      <c r="B73" s="250" t="s">
        <v>63</v>
      </c>
      <c r="C73" s="252" t="s">
        <v>15</v>
      </c>
      <c r="D73" s="116">
        <v>828</v>
      </c>
      <c r="E73" s="116" t="s">
        <v>108</v>
      </c>
      <c r="F73" s="116" t="s">
        <v>111</v>
      </c>
      <c r="G73" s="116"/>
      <c r="H73" s="37">
        <f>SUM(H74:H80)</f>
        <v>3510841</v>
      </c>
      <c r="I73" s="37"/>
      <c r="J73" s="37"/>
      <c r="K73" s="37"/>
      <c r="L73" s="37"/>
      <c r="M73" s="116"/>
      <c r="N73" s="116"/>
      <c r="O73" s="37">
        <f>SUM(H73:N73)</f>
        <v>3510841</v>
      </c>
      <c r="Q73" s="29">
        <f>H73+H96</f>
        <v>3529437.1</v>
      </c>
      <c r="R73" s="29">
        <f>I73+I96</f>
        <v>27431.4</v>
      </c>
      <c r="S73" s="29">
        <f>J73+J96</f>
        <v>29955.9</v>
      </c>
      <c r="T73" s="29">
        <f>K73+K96</f>
        <v>26858.799999999999</v>
      </c>
      <c r="U73" s="29">
        <f>L73+L96</f>
        <v>0</v>
      </c>
      <c r="V73" s="29"/>
      <c r="W73" s="29"/>
      <c r="X73" s="30">
        <f>O73+O96</f>
        <v>3613683.2</v>
      </c>
    </row>
    <row r="74" spans="1:24" ht="21" customHeight="1">
      <c r="A74" s="245"/>
      <c r="B74" s="250"/>
      <c r="C74" s="252"/>
      <c r="D74" s="116">
        <v>828</v>
      </c>
      <c r="E74" s="116" t="s">
        <v>108</v>
      </c>
      <c r="F74" s="116" t="s">
        <v>112</v>
      </c>
      <c r="G74" s="116">
        <v>200</v>
      </c>
      <c r="H74" s="37">
        <v>1419321.8</v>
      </c>
      <c r="I74" s="37"/>
      <c r="J74" s="37"/>
      <c r="K74" s="40"/>
      <c r="L74" s="41"/>
      <c r="M74" s="116"/>
      <c r="N74" s="116"/>
      <c r="O74" s="37">
        <f t="shared" ref="O74:O80" si="14">SUM(H74:N74)</f>
        <v>1419321.8</v>
      </c>
    </row>
    <row r="75" spans="1:24" ht="22.5" customHeight="1">
      <c r="A75" s="245"/>
      <c r="B75" s="250"/>
      <c r="C75" s="252"/>
      <c r="D75" s="116">
        <v>828</v>
      </c>
      <c r="E75" s="116" t="s">
        <v>108</v>
      </c>
      <c r="F75" s="116" t="s">
        <v>112</v>
      </c>
      <c r="G75" s="116">
        <v>500</v>
      </c>
      <c r="H75" s="37">
        <v>1449923</v>
      </c>
      <c r="I75" s="37"/>
      <c r="J75" s="37"/>
      <c r="K75" s="40"/>
      <c r="L75" s="41"/>
      <c r="M75" s="116"/>
      <c r="N75" s="116"/>
      <c r="O75" s="37">
        <f t="shared" si="14"/>
        <v>1449923</v>
      </c>
    </row>
    <row r="76" spans="1:24" ht="19.5" customHeight="1">
      <c r="A76" s="245"/>
      <c r="B76" s="250"/>
      <c r="C76" s="252"/>
      <c r="D76" s="116">
        <v>828</v>
      </c>
      <c r="E76" s="116" t="s">
        <v>108</v>
      </c>
      <c r="F76" s="116" t="s">
        <v>113</v>
      </c>
      <c r="G76" s="116">
        <v>200</v>
      </c>
      <c r="H76" s="37">
        <v>6878.7</v>
      </c>
      <c r="I76" s="37"/>
      <c r="J76" s="37"/>
      <c r="K76" s="40"/>
      <c r="L76" s="41"/>
      <c r="M76" s="116"/>
      <c r="N76" s="116"/>
      <c r="O76" s="37">
        <f t="shared" si="14"/>
        <v>6878.7</v>
      </c>
    </row>
    <row r="77" spans="1:24" ht="17.25" customHeight="1">
      <c r="A77" s="245"/>
      <c r="B77" s="250"/>
      <c r="C77" s="252"/>
      <c r="D77" s="116">
        <v>828</v>
      </c>
      <c r="E77" s="116" t="s">
        <v>108</v>
      </c>
      <c r="F77" s="116" t="s">
        <v>114</v>
      </c>
      <c r="G77" s="116">
        <v>200</v>
      </c>
      <c r="H77" s="37">
        <v>3.2</v>
      </c>
      <c r="I77" s="37"/>
      <c r="J77" s="37"/>
      <c r="K77" s="116"/>
      <c r="L77" s="116"/>
      <c r="M77" s="116"/>
      <c r="N77" s="116"/>
      <c r="O77" s="37">
        <f t="shared" si="14"/>
        <v>3.2</v>
      </c>
    </row>
    <row r="78" spans="1:24" ht="24.75" hidden="1" customHeight="1">
      <c r="A78" s="245"/>
      <c r="B78" s="250"/>
      <c r="C78" s="252"/>
      <c r="D78" s="116">
        <v>828</v>
      </c>
      <c r="E78" s="116" t="s">
        <v>108</v>
      </c>
      <c r="F78" s="116" t="s">
        <v>114</v>
      </c>
      <c r="G78" s="116">
        <v>500</v>
      </c>
      <c r="H78" s="37"/>
      <c r="I78" s="37"/>
      <c r="J78" s="37"/>
      <c r="K78" s="116"/>
      <c r="L78" s="116"/>
      <c r="M78" s="116"/>
      <c r="N78" s="116"/>
      <c r="O78" s="37">
        <f t="shared" si="14"/>
        <v>0</v>
      </c>
    </row>
    <row r="79" spans="1:24" ht="19.5" customHeight="1">
      <c r="A79" s="245"/>
      <c r="B79" s="250"/>
      <c r="C79" s="252"/>
      <c r="D79" s="116">
        <v>828</v>
      </c>
      <c r="E79" s="116" t="s">
        <v>108</v>
      </c>
      <c r="F79" s="116" t="s">
        <v>115</v>
      </c>
      <c r="G79" s="116">
        <v>200</v>
      </c>
      <c r="H79" s="42">
        <v>368536</v>
      </c>
      <c r="I79" s="42"/>
      <c r="J79" s="37"/>
      <c r="K79" s="116"/>
      <c r="L79" s="116"/>
      <c r="M79" s="116"/>
      <c r="N79" s="116"/>
      <c r="O79" s="37">
        <f t="shared" si="14"/>
        <v>368536</v>
      </c>
    </row>
    <row r="80" spans="1:24" ht="20.25" customHeight="1">
      <c r="A80" s="245"/>
      <c r="B80" s="250"/>
      <c r="C80" s="252"/>
      <c r="D80" s="113">
        <v>828</v>
      </c>
      <c r="E80" s="113" t="s">
        <v>108</v>
      </c>
      <c r="F80" s="113" t="s">
        <v>115</v>
      </c>
      <c r="G80" s="113">
        <v>500</v>
      </c>
      <c r="H80" s="43">
        <v>266178.3</v>
      </c>
      <c r="I80" s="83"/>
      <c r="J80" s="83"/>
      <c r="K80" s="83"/>
      <c r="L80" s="83"/>
      <c r="M80" s="113"/>
      <c r="N80" s="113"/>
      <c r="O80" s="43">
        <f t="shared" si="14"/>
        <v>266178.3</v>
      </c>
    </row>
    <row r="81" spans="1:17" ht="24.75" customHeight="1">
      <c r="A81" s="245"/>
      <c r="B81" s="250"/>
      <c r="C81" s="252"/>
      <c r="D81" s="44">
        <v>828</v>
      </c>
      <c r="E81" s="44" t="s">
        <v>108</v>
      </c>
      <c r="F81" s="44" t="s">
        <v>116</v>
      </c>
      <c r="G81" s="116"/>
      <c r="H81" s="37"/>
      <c r="I81" s="37">
        <f>SUM(I82:I90)</f>
        <v>6014438.4000000004</v>
      </c>
      <c r="J81" s="37">
        <f>SUM(J82:J90)</f>
        <v>4770823.5</v>
      </c>
      <c r="K81" s="37">
        <f>SUM(K82:K90)</f>
        <v>6828014.7999999998</v>
      </c>
      <c r="L81" s="37"/>
      <c r="M81" s="116"/>
      <c r="N81" s="116"/>
      <c r="O81" s="37">
        <f>SUM(H81:N81)</f>
        <v>17613276.699999999</v>
      </c>
      <c r="Q81" s="33">
        <f>O73+O81+O96</f>
        <v>21226959.899999999</v>
      </c>
    </row>
    <row r="82" spans="1:17" ht="21.75" customHeight="1">
      <c r="A82" s="245"/>
      <c r="B82" s="250"/>
      <c r="C82" s="252"/>
      <c r="D82" s="44">
        <v>828</v>
      </c>
      <c r="E82" s="44" t="s">
        <v>108</v>
      </c>
      <c r="F82" s="44" t="s">
        <v>117</v>
      </c>
      <c r="G82" s="45">
        <v>200</v>
      </c>
      <c r="H82" s="37"/>
      <c r="I82" s="37">
        <f>3858805.6+246306.9</f>
        <v>4105112.5</v>
      </c>
      <c r="J82" s="46">
        <f>3002100.2+409377.4</f>
        <v>3411477.6</v>
      </c>
      <c r="K82" s="66">
        <f>4125381.1+905571.5</f>
        <v>5030952.5999999996</v>
      </c>
      <c r="L82" s="47"/>
      <c r="M82" s="116"/>
      <c r="N82" s="116"/>
      <c r="O82" s="37">
        <f t="shared" ref="O82:O91" si="15">SUM(I82:N82)</f>
        <v>12547542.699999999</v>
      </c>
    </row>
    <row r="83" spans="1:17" ht="21.75" customHeight="1">
      <c r="A83" s="245"/>
      <c r="B83" s="250"/>
      <c r="C83" s="252"/>
      <c r="D83" s="44">
        <v>828</v>
      </c>
      <c r="E83" s="44" t="s">
        <v>108</v>
      </c>
      <c r="F83" s="44" t="s">
        <v>117</v>
      </c>
      <c r="G83" s="45">
        <v>400</v>
      </c>
      <c r="H83" s="37"/>
      <c r="I83" s="41"/>
      <c r="J83" s="48">
        <f>741979+101179</f>
        <v>843158</v>
      </c>
      <c r="K83" s="66">
        <f>1112969+244310.3</f>
        <v>1357279.3</v>
      </c>
      <c r="L83" s="47"/>
      <c r="M83" s="116"/>
      <c r="N83" s="116"/>
      <c r="O83" s="37">
        <f t="shared" si="15"/>
        <v>2200437.2999999998</v>
      </c>
    </row>
    <row r="84" spans="1:17" ht="21.75" customHeight="1">
      <c r="A84" s="245"/>
      <c r="B84" s="250"/>
      <c r="C84" s="252"/>
      <c r="D84" s="49">
        <v>828</v>
      </c>
      <c r="E84" s="49" t="s">
        <v>108</v>
      </c>
      <c r="F84" s="49" t="s">
        <v>117</v>
      </c>
      <c r="G84" s="45">
        <v>500</v>
      </c>
      <c r="H84" s="37"/>
      <c r="I84" s="41"/>
      <c r="J84" s="48">
        <f>454245.4+61942.5</f>
        <v>516187.9</v>
      </c>
      <c r="K84" s="66">
        <f>360622+79160.9</f>
        <v>439782.9</v>
      </c>
      <c r="L84" s="47"/>
      <c r="M84" s="116"/>
      <c r="N84" s="116"/>
      <c r="O84" s="37">
        <f t="shared" si="15"/>
        <v>955970.8</v>
      </c>
    </row>
    <row r="85" spans="1:17" ht="24.75" customHeight="1">
      <c r="A85" s="245"/>
      <c r="B85" s="250"/>
      <c r="C85" s="252"/>
      <c r="D85" s="49">
        <v>828</v>
      </c>
      <c r="E85" s="49" t="s">
        <v>108</v>
      </c>
      <c r="F85" s="49" t="s">
        <v>118</v>
      </c>
      <c r="G85" s="45">
        <v>200</v>
      </c>
      <c r="H85" s="37"/>
      <c r="I85" s="50">
        <f>460355.5+140000</f>
        <v>600355.5</v>
      </c>
      <c r="J85" s="51"/>
      <c r="K85" s="118"/>
      <c r="L85" s="45"/>
      <c r="M85" s="116"/>
      <c r="N85" s="116"/>
      <c r="O85" s="37">
        <f t="shared" si="15"/>
        <v>600355.5</v>
      </c>
    </row>
    <row r="86" spans="1:17" ht="24.75" customHeight="1">
      <c r="A86" s="245"/>
      <c r="B86" s="250"/>
      <c r="C86" s="252"/>
      <c r="D86" s="49">
        <v>828</v>
      </c>
      <c r="E86" s="49" t="s">
        <v>108</v>
      </c>
      <c r="F86" s="49" t="s">
        <v>118</v>
      </c>
      <c r="G86" s="45">
        <v>500</v>
      </c>
      <c r="H86" s="37"/>
      <c r="I86" s="50">
        <v>466307.8</v>
      </c>
      <c r="J86" s="45"/>
      <c r="K86" s="119"/>
      <c r="L86" s="45"/>
      <c r="M86" s="116"/>
      <c r="N86" s="116"/>
      <c r="O86" s="37">
        <f t="shared" si="15"/>
        <v>466307.8</v>
      </c>
    </row>
    <row r="87" spans="1:17" ht="22.5" customHeight="1">
      <c r="A87" s="245"/>
      <c r="B87" s="250"/>
      <c r="C87" s="252"/>
      <c r="D87" s="49">
        <v>828</v>
      </c>
      <c r="E87" s="49" t="s">
        <v>108</v>
      </c>
      <c r="F87" s="49" t="s">
        <v>119</v>
      </c>
      <c r="G87" s="45">
        <v>200</v>
      </c>
      <c r="H87" s="37"/>
      <c r="I87" s="37"/>
      <c r="J87" s="51"/>
      <c r="K87" s="119"/>
      <c r="L87" s="51"/>
      <c r="M87" s="116"/>
      <c r="N87" s="116"/>
      <c r="O87" s="37">
        <f t="shared" si="15"/>
        <v>0</v>
      </c>
    </row>
    <row r="88" spans="1:17" ht="24.75" customHeight="1">
      <c r="A88" s="245"/>
      <c r="B88" s="250"/>
      <c r="C88" s="252"/>
      <c r="D88" s="49">
        <v>828</v>
      </c>
      <c r="E88" s="49" t="s">
        <v>108</v>
      </c>
      <c r="F88" s="49" t="s">
        <v>120</v>
      </c>
      <c r="G88" s="49">
        <v>200</v>
      </c>
      <c r="H88" s="52"/>
      <c r="I88" s="53">
        <v>412903.2</v>
      </c>
      <c r="J88" s="47"/>
      <c r="K88" s="48"/>
      <c r="L88" s="47"/>
      <c r="M88" s="116"/>
      <c r="N88" s="116"/>
      <c r="O88" s="37">
        <f t="shared" si="15"/>
        <v>412903.2</v>
      </c>
    </row>
    <row r="89" spans="1:17" ht="24.75" customHeight="1">
      <c r="A89" s="245"/>
      <c r="B89" s="250"/>
      <c r="C89" s="252"/>
      <c r="D89" s="49">
        <v>828</v>
      </c>
      <c r="E89" s="49" t="s">
        <v>108</v>
      </c>
      <c r="F89" s="49" t="s">
        <v>121</v>
      </c>
      <c r="G89" s="49">
        <v>400</v>
      </c>
      <c r="H89" s="52"/>
      <c r="I89" s="53"/>
      <c r="J89" s="47"/>
      <c r="K89" s="48"/>
      <c r="L89" s="47"/>
      <c r="M89" s="116"/>
      <c r="N89" s="116"/>
      <c r="O89" s="37">
        <f t="shared" si="15"/>
        <v>0</v>
      </c>
    </row>
    <row r="90" spans="1:17" ht="22.5" customHeight="1">
      <c r="A90" s="245"/>
      <c r="B90" s="250"/>
      <c r="C90" s="252"/>
      <c r="D90" s="49">
        <v>828</v>
      </c>
      <c r="E90" s="49" t="s">
        <v>108</v>
      </c>
      <c r="F90" s="49" t="s">
        <v>120</v>
      </c>
      <c r="G90" s="49">
        <v>500</v>
      </c>
      <c r="H90" s="37"/>
      <c r="I90" s="54">
        <f>432406.2-2646.8</f>
        <v>429759.4</v>
      </c>
      <c r="J90" s="47"/>
      <c r="K90" s="48"/>
      <c r="L90" s="47"/>
      <c r="M90" s="116"/>
      <c r="N90" s="116"/>
      <c r="O90" s="37">
        <f t="shared" si="15"/>
        <v>429759.4</v>
      </c>
    </row>
    <row r="91" spans="1:17" ht="23.25" customHeight="1">
      <c r="A91" s="245"/>
      <c r="B91" s="250"/>
      <c r="C91" s="112" t="s">
        <v>122</v>
      </c>
      <c r="D91" s="55"/>
      <c r="E91" s="55"/>
      <c r="F91" s="55"/>
      <c r="G91" s="55"/>
      <c r="H91" s="37">
        <v>3.2</v>
      </c>
      <c r="I91" s="37">
        <v>3858805.6</v>
      </c>
      <c r="J91" s="37">
        <v>3002100.2</v>
      </c>
      <c r="K91" s="37">
        <v>4125381.1</v>
      </c>
      <c r="L91" s="37"/>
      <c r="M91" s="37"/>
      <c r="N91" s="37"/>
      <c r="O91" s="37">
        <f t="shared" si="15"/>
        <v>10986286.9</v>
      </c>
    </row>
    <row r="92" spans="1:17" ht="34.5" customHeight="1">
      <c r="A92" s="245"/>
      <c r="B92" s="250"/>
      <c r="C92" s="112" t="s">
        <v>18</v>
      </c>
      <c r="D92" s="56"/>
      <c r="E92" s="56"/>
      <c r="F92" s="56"/>
      <c r="G92" s="56"/>
      <c r="H92" s="37"/>
      <c r="I92" s="37"/>
      <c r="J92" s="37"/>
      <c r="K92" s="37"/>
      <c r="L92" s="37"/>
      <c r="M92" s="37"/>
      <c r="N92" s="37"/>
      <c r="O92" s="37"/>
    </row>
    <row r="93" spans="1:17" ht="20.25" customHeight="1">
      <c r="A93" s="246"/>
      <c r="B93" s="250"/>
      <c r="C93" s="112" t="s">
        <v>109</v>
      </c>
      <c r="D93" s="56"/>
      <c r="E93" s="56"/>
      <c r="F93" s="56"/>
      <c r="G93" s="56"/>
      <c r="H93" s="37">
        <f>H75+H80</f>
        <v>1716101.3</v>
      </c>
      <c r="I93" s="37">
        <f>I86+I90+I84</f>
        <v>896067.2</v>
      </c>
      <c r="J93" s="37">
        <f t="shared" ref="J93:K93" si="16">J86+J90+J84</f>
        <v>516187.9</v>
      </c>
      <c r="K93" s="37">
        <f t="shared" si="16"/>
        <v>439782.9</v>
      </c>
      <c r="L93" s="37"/>
      <c r="M93" s="37"/>
      <c r="N93" s="37"/>
      <c r="O93" s="37">
        <f>SUM(H93:N93)</f>
        <v>3568139.3</v>
      </c>
    </row>
    <row r="94" spans="1:17" ht="65.25" customHeight="1">
      <c r="A94" s="272"/>
      <c r="B94" s="250"/>
      <c r="C94" s="112" t="s">
        <v>20</v>
      </c>
      <c r="D94" s="55"/>
      <c r="E94" s="55"/>
      <c r="F94" s="55"/>
      <c r="G94" s="55"/>
      <c r="H94" s="37"/>
      <c r="I94" s="37"/>
      <c r="J94" s="37"/>
      <c r="K94" s="37"/>
      <c r="L94" s="37"/>
      <c r="M94" s="37"/>
      <c r="N94" s="37"/>
      <c r="O94" s="37"/>
    </row>
    <row r="95" spans="1:17" ht="51" customHeight="1">
      <c r="A95" s="273"/>
      <c r="B95" s="250"/>
      <c r="C95" s="112" t="s">
        <v>21</v>
      </c>
      <c r="D95" s="55"/>
      <c r="E95" s="55"/>
      <c r="F95" s="55"/>
      <c r="G95" s="55"/>
      <c r="H95" s="37"/>
      <c r="I95" s="37"/>
      <c r="J95" s="37"/>
      <c r="K95" s="37"/>
      <c r="L95" s="37"/>
      <c r="M95" s="37"/>
      <c r="N95" s="37"/>
      <c r="O95" s="37"/>
    </row>
    <row r="96" spans="1:17" ht="22.5" hidden="1" customHeight="1">
      <c r="A96" s="273"/>
      <c r="B96" s="250"/>
      <c r="C96" s="75" t="s">
        <v>202</v>
      </c>
      <c r="D96" s="76"/>
      <c r="E96" s="76"/>
      <c r="F96" s="76"/>
      <c r="G96" s="76"/>
      <c r="H96" s="77">
        <v>18596.099999999999</v>
      </c>
      <c r="I96" s="120">
        <v>27431.4</v>
      </c>
      <c r="J96" s="77">
        <v>29955.9</v>
      </c>
      <c r="K96" s="77">
        <v>26858.799999999999</v>
      </c>
      <c r="L96" s="77"/>
      <c r="M96" s="77"/>
      <c r="N96" s="77"/>
      <c r="O96" s="77">
        <f>SUM(H96:N96)</f>
        <v>102842.2</v>
      </c>
    </row>
    <row r="97" spans="1:24" ht="22.5" customHeight="1">
      <c r="A97" s="273"/>
      <c r="B97" s="250"/>
      <c r="C97" s="112" t="s">
        <v>22</v>
      </c>
      <c r="D97" s="56"/>
      <c r="E97" s="56"/>
      <c r="F97" s="56"/>
      <c r="G97" s="56"/>
      <c r="H97" s="37">
        <f>H93+H96</f>
        <v>1734697.4000000001</v>
      </c>
      <c r="I97" s="37">
        <f>I93+I96</f>
        <v>923498.6</v>
      </c>
      <c r="J97" s="37">
        <f>J93+J96</f>
        <v>546143.80000000005</v>
      </c>
      <c r="K97" s="37">
        <f t="shared" ref="K97" si="17">K93+K96</f>
        <v>466641.7</v>
      </c>
      <c r="L97" s="37"/>
      <c r="M97" s="37"/>
      <c r="N97" s="37"/>
      <c r="O97" s="37">
        <f t="shared" ref="O97" si="18">O93+O96</f>
        <v>3670981.5</v>
      </c>
    </row>
    <row r="98" spans="1:24" ht="24.75" customHeight="1">
      <c r="A98" s="274"/>
      <c r="B98" s="250"/>
      <c r="C98" s="112" t="s">
        <v>23</v>
      </c>
      <c r="D98" s="55"/>
      <c r="E98" s="55"/>
      <c r="F98" s="55"/>
      <c r="G98" s="55"/>
      <c r="H98" s="37"/>
      <c r="I98" s="37"/>
      <c r="J98" s="37"/>
      <c r="K98" s="37"/>
      <c r="L98" s="37"/>
      <c r="M98" s="37"/>
      <c r="N98" s="37"/>
      <c r="O98" s="37"/>
    </row>
    <row r="99" spans="1:24" ht="23.25" customHeight="1">
      <c r="A99" s="244" t="s">
        <v>123</v>
      </c>
      <c r="B99" s="112"/>
      <c r="C99" s="242" t="s">
        <v>124</v>
      </c>
      <c r="D99" s="242"/>
      <c r="E99" s="242"/>
      <c r="F99" s="242"/>
      <c r="G99" s="242"/>
      <c r="H99" s="242"/>
      <c r="I99" s="242"/>
      <c r="J99" s="242"/>
      <c r="K99" s="242"/>
      <c r="L99" s="242"/>
      <c r="M99" s="242"/>
      <c r="N99" s="242"/>
      <c r="O99" s="242"/>
    </row>
    <row r="100" spans="1:24" ht="23.25" customHeight="1">
      <c r="A100" s="245"/>
      <c r="B100" s="112" t="s">
        <v>66</v>
      </c>
      <c r="C100" s="243" t="s">
        <v>15</v>
      </c>
      <c r="D100" s="116">
        <v>828</v>
      </c>
      <c r="E100" s="116" t="s">
        <v>108</v>
      </c>
      <c r="F100" s="116" t="s">
        <v>125</v>
      </c>
      <c r="G100" s="116">
        <v>500</v>
      </c>
      <c r="H100" s="37">
        <f>32767.8+1365.4</f>
        <v>34133.199999999997</v>
      </c>
      <c r="I100" s="37"/>
      <c r="J100" s="37"/>
      <c r="K100" s="116"/>
      <c r="L100" s="57"/>
      <c r="M100" s="116"/>
      <c r="N100" s="116"/>
      <c r="O100" s="37">
        <f>SUM(H100:N100)</f>
        <v>34133.199999999997</v>
      </c>
      <c r="Q100" s="29">
        <f>H100+H107</f>
        <v>36702.399999999994</v>
      </c>
      <c r="R100" s="29">
        <f>I101+I107</f>
        <v>31868.199999999997</v>
      </c>
      <c r="S100" s="29">
        <f>J101+J107</f>
        <v>102447.6</v>
      </c>
      <c r="T100" s="29">
        <f>K101+K107</f>
        <v>102913.60000000001</v>
      </c>
      <c r="U100" s="29">
        <f>L100+L107</f>
        <v>0</v>
      </c>
      <c r="V100" s="29">
        <f>M100+M107</f>
        <v>0</v>
      </c>
      <c r="W100" s="29">
        <f>N100+N107</f>
        <v>0</v>
      </c>
      <c r="X100" s="30">
        <f>SUM(Q100:U100)</f>
        <v>273931.80000000005</v>
      </c>
    </row>
    <row r="101" spans="1:24" ht="20.25" customHeight="1">
      <c r="A101" s="245"/>
      <c r="B101" s="112"/>
      <c r="C101" s="243"/>
      <c r="D101" s="116">
        <v>828</v>
      </c>
      <c r="E101" s="116" t="s">
        <v>108</v>
      </c>
      <c r="F101" s="116" t="s">
        <v>126</v>
      </c>
      <c r="G101" s="116">
        <v>500</v>
      </c>
      <c r="H101" s="37"/>
      <c r="I101" s="37">
        <f>27859.1+1778.3</f>
        <v>29637.399999999998</v>
      </c>
      <c r="J101" s="37">
        <f>83843.1+11433.2</f>
        <v>95276.3</v>
      </c>
      <c r="K101" s="37">
        <f>79325.8+17413</f>
        <v>96738.8</v>
      </c>
      <c r="L101" s="37"/>
      <c r="M101" s="113"/>
      <c r="N101" s="113"/>
      <c r="O101" s="37">
        <f>SUM(H101:N101)</f>
        <v>221652.5</v>
      </c>
      <c r="Q101" s="29"/>
      <c r="R101" s="29"/>
      <c r="S101" s="29"/>
      <c r="T101" s="29"/>
      <c r="U101" s="29"/>
      <c r="V101" s="29"/>
      <c r="W101" s="29"/>
      <c r="X101" s="30"/>
    </row>
    <row r="102" spans="1:24" ht="36.75" customHeight="1">
      <c r="A102" s="245"/>
      <c r="B102" s="112"/>
      <c r="C102" s="112" t="s">
        <v>17</v>
      </c>
      <c r="D102" s="58"/>
      <c r="E102" s="58"/>
      <c r="F102" s="58"/>
      <c r="G102" s="58"/>
      <c r="H102" s="59">
        <v>32767.8</v>
      </c>
      <c r="I102" s="59">
        <v>27859.1</v>
      </c>
      <c r="J102" s="59">
        <v>83843.100000000006</v>
      </c>
      <c r="K102" s="59">
        <v>79325.8</v>
      </c>
      <c r="L102" s="37"/>
      <c r="M102" s="116"/>
      <c r="N102" s="116"/>
      <c r="O102" s="37">
        <f>SUM(H102:N102)</f>
        <v>223795.8</v>
      </c>
    </row>
    <row r="103" spans="1:24" ht="36.75" customHeight="1">
      <c r="A103" s="245"/>
      <c r="B103" s="112"/>
      <c r="C103" s="112" t="s">
        <v>18</v>
      </c>
      <c r="D103" s="56"/>
      <c r="E103" s="56"/>
      <c r="F103" s="56"/>
      <c r="G103" s="56"/>
      <c r="H103" s="37"/>
      <c r="I103" s="37"/>
      <c r="J103" s="37"/>
      <c r="K103" s="37"/>
      <c r="L103" s="37"/>
      <c r="M103" s="37"/>
      <c r="N103" s="37"/>
      <c r="O103" s="37"/>
    </row>
    <row r="104" spans="1:24" ht="26.25" customHeight="1">
      <c r="A104" s="245"/>
      <c r="B104" s="39"/>
      <c r="C104" s="39" t="s">
        <v>109</v>
      </c>
      <c r="D104" s="56"/>
      <c r="E104" s="56"/>
      <c r="F104" s="56"/>
      <c r="G104" s="56"/>
      <c r="H104" s="37">
        <f>H100</f>
        <v>34133.199999999997</v>
      </c>
      <c r="I104" s="37">
        <f>I101</f>
        <v>29637.399999999998</v>
      </c>
      <c r="J104" s="37">
        <f>J101</f>
        <v>95276.3</v>
      </c>
      <c r="K104" s="37">
        <f>K101</f>
        <v>96738.8</v>
      </c>
      <c r="L104" s="37"/>
      <c r="M104" s="37"/>
      <c r="N104" s="37"/>
      <c r="O104" s="37">
        <f>SUM(H104:N104)</f>
        <v>255785.7</v>
      </c>
    </row>
    <row r="105" spans="1:24" ht="71.25" customHeight="1">
      <c r="A105" s="245"/>
      <c r="B105" s="112"/>
      <c r="C105" s="112" t="s">
        <v>20</v>
      </c>
      <c r="D105" s="55"/>
      <c r="E105" s="55"/>
      <c r="F105" s="55"/>
      <c r="G105" s="55"/>
      <c r="H105" s="37"/>
      <c r="I105" s="37"/>
      <c r="J105" s="37"/>
      <c r="K105" s="37"/>
      <c r="L105" s="37"/>
      <c r="M105" s="37"/>
      <c r="N105" s="37"/>
      <c r="O105" s="37"/>
    </row>
    <row r="106" spans="1:24" ht="51.75" customHeight="1">
      <c r="A106" s="245"/>
      <c r="B106" s="112"/>
      <c r="C106" s="112" t="s">
        <v>21</v>
      </c>
      <c r="D106" s="55"/>
      <c r="E106" s="55"/>
      <c r="F106" s="55"/>
      <c r="G106" s="55"/>
      <c r="H106" s="37"/>
      <c r="I106" s="37"/>
      <c r="J106" s="37"/>
      <c r="K106" s="37"/>
      <c r="L106" s="37"/>
      <c r="M106" s="37"/>
      <c r="N106" s="37"/>
      <c r="O106" s="37"/>
    </row>
    <row r="107" spans="1:24" ht="33" hidden="1" customHeight="1">
      <c r="A107" s="245"/>
      <c r="B107" s="112"/>
      <c r="C107" s="75" t="s">
        <v>202</v>
      </c>
      <c r="D107" s="76"/>
      <c r="E107" s="76"/>
      <c r="F107" s="76"/>
      <c r="G107" s="76"/>
      <c r="H107" s="77">
        <v>2569.1999999999998</v>
      </c>
      <c r="I107" s="77">
        <v>2230.8000000000002</v>
      </c>
      <c r="J107" s="77">
        <v>7171.3</v>
      </c>
      <c r="K107" s="77">
        <v>6174.8</v>
      </c>
      <c r="L107" s="77"/>
      <c r="M107" s="77"/>
      <c r="N107" s="77"/>
      <c r="O107" s="77">
        <f>SUM(H107:N107)</f>
        <v>18146.099999999999</v>
      </c>
    </row>
    <row r="108" spans="1:24" ht="25.5" customHeight="1">
      <c r="A108" s="245"/>
      <c r="B108" s="112"/>
      <c r="C108" s="112" t="s">
        <v>22</v>
      </c>
      <c r="D108" s="56"/>
      <c r="E108" s="56"/>
      <c r="F108" s="56"/>
      <c r="G108" s="56"/>
      <c r="H108" s="37">
        <f>H104+H107</f>
        <v>36702.399999999994</v>
      </c>
      <c r="I108" s="37">
        <f t="shared" ref="I108:K108" si="19">I104+I107</f>
        <v>31868.199999999997</v>
      </c>
      <c r="J108" s="37">
        <f t="shared" si="19"/>
        <v>102447.6</v>
      </c>
      <c r="K108" s="37">
        <f t="shared" si="19"/>
        <v>102913.60000000001</v>
      </c>
      <c r="L108" s="37"/>
      <c r="M108" s="37"/>
      <c r="N108" s="37"/>
      <c r="O108" s="37">
        <f>O104+O107</f>
        <v>273931.8</v>
      </c>
    </row>
    <row r="109" spans="1:24" ht="27" customHeight="1">
      <c r="A109" s="246"/>
      <c r="B109" s="112"/>
      <c r="C109" s="112" t="s">
        <v>23</v>
      </c>
      <c r="D109" s="55"/>
      <c r="E109" s="55"/>
      <c r="F109" s="55"/>
      <c r="G109" s="55"/>
      <c r="H109" s="37"/>
      <c r="I109" s="37"/>
      <c r="J109" s="37"/>
      <c r="K109" s="37"/>
      <c r="L109" s="37"/>
      <c r="M109" s="37"/>
      <c r="N109" s="37"/>
      <c r="O109" s="37"/>
    </row>
    <row r="110" spans="1:24" s="82" customFormat="1" ht="21" customHeight="1">
      <c r="A110" s="244" t="s">
        <v>127</v>
      </c>
      <c r="B110" s="112"/>
      <c r="C110" s="242" t="s">
        <v>128</v>
      </c>
      <c r="D110" s="242"/>
      <c r="E110" s="242"/>
      <c r="F110" s="242"/>
      <c r="G110" s="242"/>
      <c r="H110" s="242"/>
      <c r="I110" s="242"/>
      <c r="J110" s="242"/>
      <c r="K110" s="242"/>
      <c r="L110" s="242"/>
      <c r="M110" s="242"/>
      <c r="N110" s="242"/>
      <c r="O110" s="242"/>
    </row>
    <row r="111" spans="1:24" ht="21" customHeight="1">
      <c r="A111" s="245"/>
      <c r="B111" s="250" t="s">
        <v>71</v>
      </c>
      <c r="C111" s="252" t="s">
        <v>15</v>
      </c>
      <c r="D111" s="109">
        <v>810</v>
      </c>
      <c r="E111" s="109" t="s">
        <v>129</v>
      </c>
      <c r="F111" s="109" t="s">
        <v>130</v>
      </c>
      <c r="G111" s="116">
        <v>600</v>
      </c>
      <c r="H111" s="37">
        <v>104</v>
      </c>
      <c r="I111" s="37"/>
      <c r="J111" s="37"/>
      <c r="K111" s="37"/>
      <c r="L111" s="37"/>
      <c r="M111" s="37"/>
      <c r="N111" s="37"/>
      <c r="O111" s="37">
        <f>SUM(H111:N111)</f>
        <v>104</v>
      </c>
    </row>
    <row r="112" spans="1:24" ht="21" customHeight="1">
      <c r="A112" s="245"/>
      <c r="B112" s="250"/>
      <c r="C112" s="271"/>
      <c r="D112" s="73">
        <v>810</v>
      </c>
      <c r="E112" s="73" t="s">
        <v>129</v>
      </c>
      <c r="F112" s="73" t="s">
        <v>205</v>
      </c>
      <c r="G112" s="74">
        <v>600</v>
      </c>
      <c r="H112" s="37"/>
      <c r="I112" s="37">
        <v>104</v>
      </c>
      <c r="J112" s="37"/>
      <c r="K112" s="37"/>
      <c r="L112" s="37"/>
      <c r="M112" s="37"/>
      <c r="N112" s="37"/>
      <c r="O112" s="37">
        <f>SUM(H112:N112)</f>
        <v>104</v>
      </c>
    </row>
    <row r="113" spans="1:17" ht="38.25" customHeight="1">
      <c r="A113" s="245"/>
      <c r="B113" s="250"/>
      <c r="C113" s="112" t="s">
        <v>17</v>
      </c>
      <c r="D113" s="55"/>
      <c r="E113" s="55"/>
      <c r="F113" s="55"/>
      <c r="G113" s="55"/>
      <c r="H113" s="37"/>
      <c r="I113" s="37"/>
      <c r="J113" s="37"/>
      <c r="K113" s="37"/>
      <c r="L113" s="37"/>
      <c r="M113" s="37"/>
      <c r="N113" s="37"/>
      <c r="O113" s="37"/>
    </row>
    <row r="114" spans="1:17" ht="35.1" customHeight="1">
      <c r="A114" s="245"/>
      <c r="B114" s="250"/>
      <c r="C114" s="112" t="s">
        <v>18</v>
      </c>
      <c r="D114" s="56"/>
      <c r="E114" s="56"/>
      <c r="F114" s="56"/>
      <c r="G114" s="56"/>
      <c r="H114" s="37"/>
      <c r="I114" s="37"/>
      <c r="J114" s="37"/>
      <c r="K114" s="37"/>
      <c r="L114" s="37"/>
      <c r="M114" s="37"/>
      <c r="N114" s="37"/>
      <c r="O114" s="37"/>
    </row>
    <row r="115" spans="1:17" ht="22.35" customHeight="1">
      <c r="A115" s="245"/>
      <c r="B115" s="250"/>
      <c r="C115" s="39" t="s">
        <v>109</v>
      </c>
      <c r="D115" s="56"/>
      <c r="E115" s="56"/>
      <c r="F115" s="56"/>
      <c r="G115" s="56"/>
      <c r="H115" s="37"/>
      <c r="I115" s="37"/>
      <c r="J115" s="37"/>
      <c r="K115" s="37"/>
      <c r="L115" s="37"/>
      <c r="M115" s="37"/>
      <c r="N115" s="37"/>
      <c r="O115" s="37"/>
    </row>
    <row r="116" spans="1:17" ht="64.5" customHeight="1">
      <c r="A116" s="245"/>
      <c r="B116" s="250"/>
      <c r="C116" s="112" t="s">
        <v>20</v>
      </c>
      <c r="D116" s="55"/>
      <c r="E116" s="55"/>
      <c r="F116" s="55"/>
      <c r="G116" s="55"/>
      <c r="H116" s="37"/>
      <c r="I116" s="37"/>
      <c r="J116" s="37"/>
      <c r="K116" s="37"/>
      <c r="L116" s="37"/>
      <c r="M116" s="37"/>
      <c r="N116" s="37"/>
      <c r="O116" s="37"/>
    </row>
    <row r="117" spans="1:17" ht="52.15" customHeight="1">
      <c r="A117" s="245"/>
      <c r="B117" s="250"/>
      <c r="C117" s="112" t="s">
        <v>21</v>
      </c>
      <c r="D117" s="55"/>
      <c r="E117" s="55"/>
      <c r="F117" s="55"/>
      <c r="G117" s="55"/>
      <c r="H117" s="37"/>
      <c r="I117" s="37"/>
      <c r="J117" s="37"/>
      <c r="K117" s="37"/>
      <c r="L117" s="37"/>
      <c r="M117" s="37"/>
      <c r="N117" s="37"/>
      <c r="O117" s="37"/>
    </row>
    <row r="118" spans="1:17" ht="21" customHeight="1">
      <c r="A118" s="245"/>
      <c r="B118" s="250"/>
      <c r="C118" s="112" t="s">
        <v>22</v>
      </c>
      <c r="D118" s="56"/>
      <c r="E118" s="56"/>
      <c r="F118" s="56"/>
      <c r="G118" s="56"/>
      <c r="H118" s="37"/>
      <c r="I118" s="37"/>
      <c r="J118" s="37"/>
      <c r="K118" s="37"/>
      <c r="L118" s="37"/>
      <c r="M118" s="37"/>
      <c r="N118" s="37"/>
      <c r="O118" s="37"/>
    </row>
    <row r="119" spans="1:17" ht="21.75" customHeight="1">
      <c r="A119" s="246"/>
      <c r="B119" s="250"/>
      <c r="C119" s="112" t="s">
        <v>23</v>
      </c>
      <c r="D119" s="55"/>
      <c r="E119" s="55"/>
      <c r="F119" s="55"/>
      <c r="G119" s="55"/>
      <c r="H119" s="37"/>
      <c r="I119" s="37"/>
      <c r="J119" s="37"/>
      <c r="K119" s="37"/>
      <c r="L119" s="37"/>
      <c r="M119" s="37"/>
      <c r="N119" s="37"/>
      <c r="O119" s="37"/>
    </row>
    <row r="120" spans="1:17" ht="29.85" customHeight="1">
      <c r="A120" s="244" t="s">
        <v>131</v>
      </c>
      <c r="B120" s="112"/>
      <c r="C120" s="242" t="s">
        <v>132</v>
      </c>
      <c r="D120" s="242"/>
      <c r="E120" s="242"/>
      <c r="F120" s="242"/>
      <c r="G120" s="242"/>
      <c r="H120" s="242"/>
      <c r="I120" s="242"/>
      <c r="J120" s="242"/>
      <c r="K120" s="242"/>
      <c r="L120" s="242"/>
      <c r="M120" s="242"/>
      <c r="N120" s="242"/>
      <c r="O120" s="242"/>
    </row>
    <row r="121" spans="1:17" ht="22.5" customHeight="1">
      <c r="A121" s="245"/>
      <c r="B121" s="250" t="s">
        <v>76</v>
      </c>
      <c r="C121" s="112" t="s">
        <v>15</v>
      </c>
      <c r="D121" s="49">
        <v>828</v>
      </c>
      <c r="E121" s="49" t="s">
        <v>108</v>
      </c>
      <c r="F121" s="49" t="s">
        <v>133</v>
      </c>
      <c r="G121" s="49">
        <v>500</v>
      </c>
      <c r="H121" s="37">
        <f>36275+1512.4</f>
        <v>37787.4</v>
      </c>
      <c r="I121" s="37">
        <v>0</v>
      </c>
      <c r="J121" s="37">
        <f>79969.8+10905.2</f>
        <v>90875</v>
      </c>
      <c r="K121" s="37">
        <v>0</v>
      </c>
      <c r="L121" s="37">
        <v>0</v>
      </c>
      <c r="M121" s="37">
        <v>0</v>
      </c>
      <c r="N121" s="37">
        <v>0</v>
      </c>
      <c r="O121" s="37">
        <f>SUM(H121:N121)</f>
        <v>128662.39999999999</v>
      </c>
      <c r="Q121" s="29">
        <f>O121-O122</f>
        <v>12417.599999999991</v>
      </c>
    </row>
    <row r="122" spans="1:17" ht="31.5">
      <c r="A122" s="245"/>
      <c r="B122" s="250"/>
      <c r="C122" s="112" t="s">
        <v>17</v>
      </c>
      <c r="D122" s="55"/>
      <c r="E122" s="55"/>
      <c r="F122" s="55"/>
      <c r="G122" s="55"/>
      <c r="H122" s="37">
        <v>36275</v>
      </c>
      <c r="I122" s="37">
        <v>0</v>
      </c>
      <c r="J122" s="37">
        <f>79969.8</f>
        <v>79969.8</v>
      </c>
      <c r="K122" s="37">
        <v>0</v>
      </c>
      <c r="L122" s="37">
        <v>0</v>
      </c>
      <c r="M122" s="37">
        <v>0</v>
      </c>
      <c r="N122" s="37">
        <v>0</v>
      </c>
      <c r="O122" s="37">
        <f>SUM(H122:N122)</f>
        <v>116244.8</v>
      </c>
    </row>
    <row r="123" spans="1:17" ht="31.5" customHeight="1">
      <c r="A123" s="245"/>
      <c r="B123" s="250"/>
      <c r="C123" s="112" t="s">
        <v>18</v>
      </c>
      <c r="D123" s="56"/>
      <c r="E123" s="56"/>
      <c r="F123" s="56"/>
      <c r="G123" s="56"/>
      <c r="H123" s="116"/>
      <c r="I123" s="116"/>
      <c r="J123" s="116"/>
      <c r="K123" s="116"/>
      <c r="L123" s="116"/>
      <c r="M123" s="116"/>
      <c r="N123" s="116"/>
      <c r="O123" s="37">
        <v>0</v>
      </c>
    </row>
    <row r="124" spans="1:17" ht="19.5" customHeight="1">
      <c r="A124" s="245"/>
      <c r="B124" s="250"/>
      <c r="C124" s="39" t="s">
        <v>109</v>
      </c>
      <c r="D124" s="56"/>
      <c r="E124" s="56"/>
      <c r="F124" s="56"/>
      <c r="G124" s="56"/>
      <c r="H124" s="37">
        <f>H121</f>
        <v>37787.4</v>
      </c>
      <c r="I124" s="116"/>
      <c r="J124" s="37">
        <f>J121</f>
        <v>90875</v>
      </c>
      <c r="K124" s="116"/>
      <c r="L124" s="116"/>
      <c r="M124" s="116"/>
      <c r="N124" s="116"/>
      <c r="O124" s="37">
        <f>SUM(H124:N124)</f>
        <v>128662.39999999999</v>
      </c>
    </row>
    <row r="125" spans="1:17" ht="63">
      <c r="A125" s="245"/>
      <c r="B125" s="250"/>
      <c r="C125" s="112" t="s">
        <v>20</v>
      </c>
      <c r="D125" s="55"/>
      <c r="E125" s="55"/>
      <c r="F125" s="55"/>
      <c r="G125" s="55"/>
      <c r="H125" s="116"/>
      <c r="I125" s="116"/>
      <c r="J125" s="116"/>
      <c r="K125" s="116"/>
      <c r="L125" s="116"/>
      <c r="M125" s="116"/>
      <c r="N125" s="116"/>
      <c r="O125" s="37"/>
    </row>
    <row r="126" spans="1:17" ht="50.25" customHeight="1">
      <c r="A126" s="245"/>
      <c r="B126" s="250"/>
      <c r="C126" s="112" t="s">
        <v>21</v>
      </c>
      <c r="D126" s="55"/>
      <c r="E126" s="55"/>
      <c r="F126" s="55"/>
      <c r="G126" s="55"/>
      <c r="H126" s="116"/>
      <c r="I126" s="116"/>
      <c r="J126" s="116"/>
      <c r="K126" s="116"/>
      <c r="L126" s="116"/>
      <c r="M126" s="116"/>
      <c r="N126" s="116"/>
      <c r="O126" s="37"/>
    </row>
    <row r="127" spans="1:17" ht="21" hidden="1" customHeight="1">
      <c r="A127" s="245"/>
      <c r="B127" s="250"/>
      <c r="C127" s="75" t="s">
        <v>202</v>
      </c>
      <c r="D127" s="76"/>
      <c r="E127" s="76"/>
      <c r="F127" s="76"/>
      <c r="G127" s="76"/>
      <c r="H127" s="77">
        <v>2411.9639999999999</v>
      </c>
      <c r="I127" s="116"/>
      <c r="J127" s="77">
        <v>5653.8</v>
      </c>
      <c r="K127" s="79"/>
      <c r="L127" s="79"/>
      <c r="M127" s="79"/>
      <c r="N127" s="79"/>
      <c r="O127" s="77">
        <f>SUM(H127:N127)</f>
        <v>8065.7640000000001</v>
      </c>
    </row>
    <row r="128" spans="1:17" ht="21" customHeight="1">
      <c r="A128" s="245"/>
      <c r="B128" s="250"/>
      <c r="C128" s="112" t="s">
        <v>22</v>
      </c>
      <c r="D128" s="56"/>
      <c r="E128" s="56"/>
      <c r="F128" s="56"/>
      <c r="G128" s="56"/>
      <c r="H128" s="37">
        <f>H124+H127</f>
        <v>40199.364000000001</v>
      </c>
      <c r="I128" s="116"/>
      <c r="J128" s="37">
        <f>J124+J127</f>
        <v>96528.8</v>
      </c>
      <c r="K128" s="116"/>
      <c r="L128" s="116"/>
      <c r="M128" s="116"/>
      <c r="N128" s="116"/>
      <c r="O128" s="37">
        <f>O124+O127</f>
        <v>136728.16399999999</v>
      </c>
    </row>
    <row r="129" spans="1:24" ht="22.5" customHeight="1">
      <c r="A129" s="246"/>
      <c r="B129" s="250"/>
      <c r="C129" s="112" t="s">
        <v>23</v>
      </c>
      <c r="D129" s="55"/>
      <c r="E129" s="55"/>
      <c r="F129" s="55"/>
      <c r="G129" s="55"/>
      <c r="H129" s="37">
        <v>4466.6000000000004</v>
      </c>
      <c r="I129" s="116"/>
      <c r="J129" s="37">
        <v>10725.5</v>
      </c>
      <c r="K129" s="116"/>
      <c r="L129" s="116"/>
      <c r="M129" s="116"/>
      <c r="N129" s="116"/>
      <c r="O129" s="37">
        <f>SUM(H129:N129)</f>
        <v>15192.1</v>
      </c>
    </row>
    <row r="130" spans="1:24" ht="32.25" hidden="1" customHeight="1">
      <c r="A130" s="116" t="s">
        <v>134</v>
      </c>
      <c r="B130" s="112"/>
      <c r="C130" s="242" t="s">
        <v>80</v>
      </c>
      <c r="D130" s="242"/>
      <c r="E130" s="242"/>
      <c r="F130" s="242"/>
      <c r="G130" s="242"/>
      <c r="H130" s="242"/>
      <c r="I130" s="242"/>
      <c r="J130" s="242"/>
      <c r="K130" s="242"/>
      <c r="L130" s="242"/>
      <c r="M130" s="242"/>
      <c r="N130" s="242"/>
      <c r="O130" s="242"/>
    </row>
    <row r="131" spans="1:24" ht="15.75" hidden="1" customHeight="1">
      <c r="A131" s="60"/>
      <c r="B131" s="250" t="s">
        <v>80</v>
      </c>
      <c r="C131" s="112" t="s">
        <v>54</v>
      </c>
      <c r="D131" s="112"/>
      <c r="E131" s="112"/>
      <c r="F131" s="112"/>
      <c r="G131" s="112"/>
      <c r="H131" s="37"/>
      <c r="I131" s="37"/>
      <c r="J131" s="37"/>
      <c r="K131" s="37"/>
      <c r="L131" s="37"/>
      <c r="M131" s="37"/>
      <c r="N131" s="37"/>
      <c r="O131" s="37"/>
    </row>
    <row r="132" spans="1:24" hidden="1">
      <c r="A132" s="60"/>
      <c r="B132" s="250"/>
      <c r="C132" s="112" t="s">
        <v>15</v>
      </c>
      <c r="D132" s="55"/>
      <c r="E132" s="55"/>
      <c r="F132" s="55"/>
      <c r="G132" s="55"/>
      <c r="H132" s="37"/>
      <c r="I132" s="37"/>
      <c r="J132" s="37"/>
      <c r="K132" s="37"/>
      <c r="L132" s="37"/>
      <c r="M132" s="37"/>
      <c r="N132" s="37"/>
      <c r="O132" s="37"/>
    </row>
    <row r="133" spans="1:24" hidden="1">
      <c r="A133" s="60"/>
      <c r="B133" s="250"/>
      <c r="C133" s="112" t="s">
        <v>135</v>
      </c>
      <c r="D133" s="56"/>
      <c r="E133" s="56"/>
      <c r="F133" s="56"/>
      <c r="G133" s="56"/>
      <c r="H133" s="37"/>
      <c r="I133" s="37"/>
      <c r="J133" s="37"/>
      <c r="K133" s="37"/>
      <c r="L133" s="37"/>
      <c r="M133" s="37"/>
      <c r="N133" s="37"/>
      <c r="O133" s="37"/>
    </row>
    <row r="134" spans="1:24" ht="47.25" hidden="1">
      <c r="A134" s="60"/>
      <c r="B134" s="250"/>
      <c r="C134" s="112" t="s">
        <v>136</v>
      </c>
      <c r="D134" s="56"/>
      <c r="E134" s="56"/>
      <c r="F134" s="56"/>
      <c r="G134" s="56"/>
      <c r="H134" s="37"/>
      <c r="I134" s="37"/>
      <c r="J134" s="37"/>
      <c r="K134" s="37"/>
      <c r="L134" s="37"/>
      <c r="M134" s="37"/>
      <c r="N134" s="37"/>
      <c r="O134" s="37"/>
    </row>
    <row r="135" spans="1:24" ht="54" hidden="1" customHeight="1">
      <c r="A135" s="60"/>
      <c r="B135" s="250"/>
      <c r="C135" s="112" t="s">
        <v>137</v>
      </c>
      <c r="D135" s="55"/>
      <c r="E135" s="55"/>
      <c r="F135" s="55"/>
      <c r="G135" s="55"/>
      <c r="H135" s="37"/>
      <c r="I135" s="37"/>
      <c r="J135" s="37"/>
      <c r="K135" s="37"/>
      <c r="L135" s="37"/>
      <c r="M135" s="37"/>
      <c r="N135" s="37"/>
      <c r="O135" s="37"/>
    </row>
    <row r="136" spans="1:24" ht="31.5" hidden="1">
      <c r="A136" s="60"/>
      <c r="B136" s="250"/>
      <c r="C136" s="112" t="s">
        <v>138</v>
      </c>
      <c r="D136" s="55"/>
      <c r="E136" s="55"/>
      <c r="F136" s="55"/>
      <c r="G136" s="55"/>
      <c r="H136" s="37"/>
      <c r="I136" s="37"/>
      <c r="J136" s="37"/>
      <c r="K136" s="37"/>
      <c r="L136" s="37"/>
      <c r="M136" s="37"/>
      <c r="N136" s="37"/>
      <c r="O136" s="37"/>
    </row>
    <row r="137" spans="1:24" ht="31.5" hidden="1">
      <c r="A137" s="60"/>
      <c r="B137" s="250"/>
      <c r="C137" s="112" t="s">
        <v>139</v>
      </c>
      <c r="D137" s="56"/>
      <c r="E137" s="56"/>
      <c r="F137" s="56"/>
      <c r="G137" s="56"/>
      <c r="H137" s="37"/>
      <c r="I137" s="37"/>
      <c r="J137" s="37"/>
      <c r="K137" s="37"/>
      <c r="L137" s="37"/>
      <c r="M137" s="37"/>
      <c r="N137" s="37"/>
      <c r="O137" s="37"/>
    </row>
    <row r="138" spans="1:24" ht="27" hidden="1" customHeight="1">
      <c r="A138" s="60"/>
      <c r="B138" s="250"/>
      <c r="C138" s="112" t="s">
        <v>23</v>
      </c>
      <c r="D138" s="55"/>
      <c r="E138" s="55"/>
      <c r="F138" s="55"/>
      <c r="G138" s="55"/>
      <c r="H138" s="37"/>
      <c r="I138" s="37"/>
      <c r="J138" s="37"/>
      <c r="K138" s="37"/>
      <c r="L138" s="37"/>
      <c r="M138" s="37"/>
      <c r="N138" s="37"/>
      <c r="O138" s="37"/>
    </row>
    <row r="139" spans="1:24" ht="27.75" customHeight="1">
      <c r="A139" s="247" t="s">
        <v>134</v>
      </c>
      <c r="B139" s="61"/>
      <c r="C139" s="242" t="s">
        <v>140</v>
      </c>
      <c r="D139" s="242"/>
      <c r="E139" s="242"/>
      <c r="F139" s="242"/>
      <c r="G139" s="242"/>
      <c r="H139" s="242"/>
      <c r="I139" s="242"/>
      <c r="J139" s="242"/>
      <c r="K139" s="242"/>
      <c r="L139" s="242"/>
      <c r="M139" s="242"/>
      <c r="N139" s="242"/>
      <c r="O139" s="242"/>
    </row>
    <row r="140" spans="1:24" ht="18.75" customHeight="1">
      <c r="A140" s="248"/>
      <c r="B140" s="112" t="s">
        <v>82</v>
      </c>
      <c r="C140" s="251" t="s">
        <v>15</v>
      </c>
      <c r="D140" s="109">
        <v>828</v>
      </c>
      <c r="E140" s="109" t="s">
        <v>108</v>
      </c>
      <c r="F140" s="109" t="s">
        <v>141</v>
      </c>
      <c r="G140" s="112"/>
      <c r="H140" s="37">
        <f>SUM(H141:H142)</f>
        <v>706748.9</v>
      </c>
      <c r="I140" s="37">
        <f t="shared" ref="I140:N140" si="20">SUM(I143:I149)</f>
        <v>1258305.9000000001</v>
      </c>
      <c r="J140" s="37">
        <f t="shared" si="20"/>
        <v>1114630.2</v>
      </c>
      <c r="K140" s="37">
        <f t="shared" si="20"/>
        <v>585188.9</v>
      </c>
      <c r="L140" s="37">
        <f t="shared" si="20"/>
        <v>907532</v>
      </c>
      <c r="M140" s="37">
        <f t="shared" si="20"/>
        <v>6874415</v>
      </c>
      <c r="N140" s="37">
        <f t="shared" si="20"/>
        <v>6930164.5999999996</v>
      </c>
      <c r="O140" s="37">
        <f t="shared" ref="O140:O149" si="21">SUM(H140:N140)</f>
        <v>18376985.5</v>
      </c>
      <c r="Q140" s="29">
        <f t="shared" ref="Q140:W140" si="22">H140+H155</f>
        <v>716376.70000000007</v>
      </c>
      <c r="R140" s="29">
        <f t="shared" si="22"/>
        <v>1311536.9000000001</v>
      </c>
      <c r="S140" s="29">
        <f t="shared" si="22"/>
        <v>1163041.7</v>
      </c>
      <c r="T140" s="29">
        <f t="shared" si="22"/>
        <v>585188.9</v>
      </c>
      <c r="U140" s="29">
        <f t="shared" si="22"/>
        <v>907532</v>
      </c>
      <c r="V140" s="29">
        <f t="shared" si="22"/>
        <v>6874415</v>
      </c>
      <c r="W140" s="29">
        <f t="shared" si="22"/>
        <v>6930164.5999999996</v>
      </c>
      <c r="X140" s="30">
        <f>SUM(Q140:W140)</f>
        <v>18488255.799999997</v>
      </c>
    </row>
    <row r="141" spans="1:24" ht="48" customHeight="1">
      <c r="A141" s="248"/>
      <c r="B141" s="112"/>
      <c r="C141" s="251"/>
      <c r="D141" s="109">
        <v>828</v>
      </c>
      <c r="E141" s="109" t="s">
        <v>108</v>
      </c>
      <c r="F141" s="109" t="s">
        <v>142</v>
      </c>
      <c r="G141" s="109" t="s">
        <v>143</v>
      </c>
      <c r="H141" s="37">
        <f>290584.4+88247.8+121337.5+63601.2+15066</f>
        <v>578836.9</v>
      </c>
      <c r="I141" s="37"/>
      <c r="J141" s="37"/>
      <c r="K141" s="37"/>
      <c r="L141" s="37"/>
      <c r="M141" s="37"/>
      <c r="N141" s="37"/>
      <c r="O141" s="37">
        <f t="shared" si="21"/>
        <v>578836.9</v>
      </c>
    </row>
    <row r="142" spans="1:24" ht="24.75" customHeight="1">
      <c r="A142" s="248"/>
      <c r="B142" s="112"/>
      <c r="C142" s="251"/>
      <c r="D142" s="71">
        <v>828</v>
      </c>
      <c r="E142" s="71" t="s">
        <v>108</v>
      </c>
      <c r="F142" s="71" t="s">
        <v>144</v>
      </c>
      <c r="G142" s="71">
        <v>500</v>
      </c>
      <c r="H142" s="37">
        <v>127912</v>
      </c>
      <c r="I142" s="37"/>
      <c r="J142" s="37"/>
      <c r="K142" s="37"/>
      <c r="L142" s="37"/>
      <c r="M142" s="37"/>
      <c r="N142" s="37"/>
      <c r="O142" s="37">
        <f t="shared" si="21"/>
        <v>127912</v>
      </c>
    </row>
    <row r="143" spans="1:24" ht="24" customHeight="1">
      <c r="A143" s="248"/>
      <c r="B143" s="39"/>
      <c r="C143" s="251"/>
      <c r="D143" s="110">
        <v>828</v>
      </c>
      <c r="E143" s="110" t="s">
        <v>108</v>
      </c>
      <c r="F143" s="110" t="s">
        <v>145</v>
      </c>
      <c r="G143" s="111">
        <v>400</v>
      </c>
      <c r="H143" s="42"/>
      <c r="I143" s="121">
        <f>291909.3-6201.3-87000+6000-6734.5-15066</f>
        <v>182907.5</v>
      </c>
      <c r="J143" s="72"/>
      <c r="K143" s="72">
        <v>130000</v>
      </c>
      <c r="L143" s="121">
        <v>882532</v>
      </c>
      <c r="M143" s="121">
        <v>6849415</v>
      </c>
      <c r="N143" s="122">
        <v>6905164.5999999996</v>
      </c>
      <c r="O143" s="42">
        <f t="shared" si="21"/>
        <v>14950019.1</v>
      </c>
    </row>
    <row r="144" spans="1:24" ht="19.5" customHeight="1">
      <c r="A144" s="248"/>
      <c r="B144" s="112"/>
      <c r="C144" s="251"/>
      <c r="D144" s="109">
        <v>828</v>
      </c>
      <c r="E144" s="109" t="s">
        <v>108</v>
      </c>
      <c r="F144" s="109" t="s">
        <v>146</v>
      </c>
      <c r="G144" s="71">
        <v>400</v>
      </c>
      <c r="H144" s="37"/>
      <c r="I144" s="11">
        <v>149507.9</v>
      </c>
      <c r="J144" s="11">
        <v>197016</v>
      </c>
      <c r="K144" s="11">
        <v>295788.90000000002</v>
      </c>
      <c r="L144" s="37"/>
      <c r="M144" s="37"/>
      <c r="N144" s="37"/>
      <c r="O144" s="37">
        <f t="shared" si="21"/>
        <v>642312.80000000005</v>
      </c>
    </row>
    <row r="145" spans="1:24" ht="19.5" customHeight="1">
      <c r="A145" s="248"/>
      <c r="B145" s="112"/>
      <c r="C145" s="251"/>
      <c r="D145" s="109">
        <v>828</v>
      </c>
      <c r="E145" s="109" t="s">
        <v>108</v>
      </c>
      <c r="F145" s="109" t="s">
        <v>147</v>
      </c>
      <c r="G145" s="71">
        <v>500</v>
      </c>
      <c r="H145" s="37"/>
      <c r="I145" s="51">
        <v>806623.8</v>
      </c>
      <c r="J145" s="51">
        <v>735184.4</v>
      </c>
      <c r="K145" s="37"/>
      <c r="L145" s="37"/>
      <c r="M145" s="37"/>
      <c r="N145" s="37"/>
      <c r="O145" s="37">
        <f t="shared" si="21"/>
        <v>1541808.2000000002</v>
      </c>
    </row>
    <row r="146" spans="1:24" ht="19.5" customHeight="1">
      <c r="A146" s="248"/>
      <c r="B146" s="112"/>
      <c r="C146" s="251"/>
      <c r="D146" s="109">
        <v>828</v>
      </c>
      <c r="E146" s="109" t="s">
        <v>108</v>
      </c>
      <c r="F146" s="109" t="s">
        <v>148</v>
      </c>
      <c r="G146" s="71">
        <v>400</v>
      </c>
      <c r="H146" s="37"/>
      <c r="I146" s="51">
        <v>64900.5</v>
      </c>
      <c r="J146" s="51">
        <v>36203.800000000003</v>
      </c>
      <c r="K146" s="51">
        <v>59000</v>
      </c>
      <c r="L146" s="37"/>
      <c r="M146" s="37"/>
      <c r="N146" s="37"/>
      <c r="O146" s="37">
        <f t="shared" si="21"/>
        <v>160104.29999999999</v>
      </c>
    </row>
    <row r="147" spans="1:24" ht="19.5" customHeight="1">
      <c r="A147" s="248"/>
      <c r="B147" s="112"/>
      <c r="C147" s="251"/>
      <c r="D147" s="109">
        <v>828</v>
      </c>
      <c r="E147" s="109" t="s">
        <v>108</v>
      </c>
      <c r="F147" s="109" t="s">
        <v>149</v>
      </c>
      <c r="G147" s="71">
        <v>200</v>
      </c>
      <c r="H147" s="37"/>
      <c r="I147" s="46">
        <v>128</v>
      </c>
      <c r="J147" s="46">
        <v>55550.1</v>
      </c>
      <c r="K147" s="46"/>
      <c r="L147" s="46"/>
      <c r="M147" s="63"/>
      <c r="N147" s="63"/>
      <c r="O147" s="37">
        <f t="shared" si="21"/>
        <v>55678.1</v>
      </c>
    </row>
    <row r="148" spans="1:24" ht="19.5" customHeight="1">
      <c r="A148" s="248"/>
      <c r="B148" s="112"/>
      <c r="C148" s="251"/>
      <c r="D148" s="109">
        <v>828</v>
      </c>
      <c r="E148" s="109" t="s">
        <v>108</v>
      </c>
      <c r="F148" s="109" t="s">
        <v>149</v>
      </c>
      <c r="G148" s="71">
        <v>400</v>
      </c>
      <c r="H148" s="37"/>
      <c r="I148" s="46">
        <v>46807.300000000017</v>
      </c>
      <c r="J148" s="46">
        <v>90675.9</v>
      </c>
      <c r="K148" s="46">
        <v>100400</v>
      </c>
      <c r="L148" s="46">
        <v>25000</v>
      </c>
      <c r="M148" s="46">
        <v>25000</v>
      </c>
      <c r="N148" s="46">
        <v>25000</v>
      </c>
      <c r="O148" s="37">
        <f t="shared" si="21"/>
        <v>312883.20000000001</v>
      </c>
    </row>
    <row r="149" spans="1:24" ht="19.5" customHeight="1">
      <c r="A149" s="248"/>
      <c r="B149" s="112"/>
      <c r="C149" s="251"/>
      <c r="D149" s="109">
        <v>828</v>
      </c>
      <c r="E149" s="109" t="s">
        <v>108</v>
      </c>
      <c r="F149" s="109" t="s">
        <v>149</v>
      </c>
      <c r="G149" s="71">
        <v>800</v>
      </c>
      <c r="H149" s="37"/>
      <c r="I149" s="51">
        <v>7430.8999999999942</v>
      </c>
      <c r="J149" s="46"/>
      <c r="K149" s="46"/>
      <c r="L149" s="46"/>
      <c r="M149" s="64"/>
      <c r="N149" s="65"/>
      <c r="O149" s="37">
        <f t="shared" si="21"/>
        <v>7430.8999999999942</v>
      </c>
    </row>
    <row r="150" spans="1:24" ht="39.75" customHeight="1">
      <c r="A150" s="248"/>
      <c r="B150" s="112"/>
      <c r="C150" s="112" t="s">
        <v>17</v>
      </c>
      <c r="D150" s="55"/>
      <c r="E150" s="55"/>
      <c r="F150" s="55"/>
      <c r="G150" s="55"/>
      <c r="H150" s="37"/>
      <c r="I150" s="37"/>
      <c r="J150" s="37"/>
      <c r="K150" s="37"/>
      <c r="L150" s="37"/>
      <c r="M150" s="37"/>
      <c r="N150" s="37"/>
      <c r="O150" s="37"/>
    </row>
    <row r="151" spans="1:24" ht="34.5" customHeight="1">
      <c r="A151" s="248"/>
      <c r="B151" s="112"/>
      <c r="C151" s="112" t="s">
        <v>18</v>
      </c>
      <c r="D151" s="56"/>
      <c r="E151" s="56"/>
      <c r="F151" s="56"/>
      <c r="G151" s="56"/>
      <c r="H151" s="37"/>
      <c r="I151" s="37"/>
      <c r="J151" s="37"/>
      <c r="K151" s="37"/>
      <c r="L151" s="37"/>
      <c r="M151" s="37"/>
      <c r="N151" s="37"/>
      <c r="O151" s="37"/>
    </row>
    <row r="152" spans="1:24" ht="28.7" customHeight="1">
      <c r="A152" s="248"/>
      <c r="B152" s="39"/>
      <c r="C152" s="39" t="s">
        <v>109</v>
      </c>
      <c r="D152" s="56"/>
      <c r="E152" s="56"/>
      <c r="F152" s="56"/>
      <c r="G152" s="56"/>
      <c r="H152" s="37">
        <f>H142</f>
        <v>127912</v>
      </c>
      <c r="I152" s="37">
        <f t="shared" ref="I152:N152" si="23">I145</f>
        <v>806623.8</v>
      </c>
      <c r="J152" s="37">
        <f t="shared" si="23"/>
        <v>735184.4</v>
      </c>
      <c r="K152" s="37">
        <f t="shared" si="23"/>
        <v>0</v>
      </c>
      <c r="L152" s="37">
        <f t="shared" si="23"/>
        <v>0</v>
      </c>
      <c r="M152" s="37">
        <f t="shared" si="23"/>
        <v>0</v>
      </c>
      <c r="N152" s="37">
        <f t="shared" si="23"/>
        <v>0</v>
      </c>
      <c r="O152" s="37">
        <f>SUM(H152:N152)</f>
        <v>1669720.2000000002</v>
      </c>
    </row>
    <row r="153" spans="1:24" ht="66.75" customHeight="1">
      <c r="A153" s="248"/>
      <c r="B153" s="112"/>
      <c r="C153" s="112" t="s">
        <v>20</v>
      </c>
      <c r="D153" s="55"/>
      <c r="E153" s="55"/>
      <c r="F153" s="55"/>
      <c r="G153" s="55"/>
      <c r="H153" s="37"/>
      <c r="I153" s="37"/>
      <c r="J153" s="37"/>
      <c r="K153" s="37"/>
      <c r="L153" s="37"/>
      <c r="M153" s="37"/>
      <c r="N153" s="37"/>
      <c r="O153" s="37"/>
    </row>
    <row r="154" spans="1:24" ht="52.5" customHeight="1">
      <c r="A154" s="248"/>
      <c r="B154" s="112"/>
      <c r="C154" s="112" t="s">
        <v>21</v>
      </c>
      <c r="D154" s="55"/>
      <c r="E154" s="55"/>
      <c r="F154" s="55"/>
      <c r="G154" s="55"/>
      <c r="H154" s="37"/>
      <c r="I154" s="37"/>
      <c r="J154" s="37"/>
      <c r="K154" s="37"/>
      <c r="L154" s="37"/>
      <c r="M154" s="37"/>
      <c r="N154" s="37"/>
      <c r="O154" s="37"/>
    </row>
    <row r="155" spans="1:24" ht="28.5" hidden="1" customHeight="1">
      <c r="A155" s="248"/>
      <c r="B155" s="112"/>
      <c r="C155" s="75" t="s">
        <v>202</v>
      </c>
      <c r="D155" s="76"/>
      <c r="E155" s="76"/>
      <c r="F155" s="76"/>
      <c r="G155" s="76"/>
      <c r="H155" s="77">
        <v>9627.7999999999902</v>
      </c>
      <c r="I155" s="123">
        <v>53231</v>
      </c>
      <c r="J155" s="123">
        <v>48411.5</v>
      </c>
      <c r="K155" s="77"/>
      <c r="L155" s="77"/>
      <c r="M155" s="77"/>
      <c r="N155" s="77"/>
      <c r="O155" s="77">
        <f>SUM(H155:N155)</f>
        <v>111270.29999999999</v>
      </c>
      <c r="Q155" s="33">
        <f>O140+O155</f>
        <v>18488255.800000001</v>
      </c>
    </row>
    <row r="156" spans="1:24" ht="28.5" customHeight="1">
      <c r="A156" s="248"/>
      <c r="B156" s="112"/>
      <c r="C156" s="112" t="s">
        <v>22</v>
      </c>
      <c r="D156" s="56"/>
      <c r="E156" s="56"/>
      <c r="F156" s="56"/>
      <c r="G156" s="56"/>
      <c r="H156" s="37">
        <f>H152+H155</f>
        <v>137539.79999999999</v>
      </c>
      <c r="I156" s="37">
        <f>I152+I155</f>
        <v>859854.8</v>
      </c>
      <c r="J156" s="37">
        <f t="shared" ref="J156" si="24">J152+J155</f>
        <v>783595.9</v>
      </c>
      <c r="K156" s="37"/>
      <c r="L156" s="37"/>
      <c r="M156" s="37"/>
      <c r="N156" s="37"/>
      <c r="O156" s="37">
        <f>O152+O155</f>
        <v>1780990.5000000002</v>
      </c>
      <c r="Q156" s="33"/>
    </row>
    <row r="157" spans="1:24" ht="22.35" customHeight="1">
      <c r="A157" s="249"/>
      <c r="B157" s="112"/>
      <c r="C157" s="112" t="s">
        <v>23</v>
      </c>
      <c r="D157" s="55"/>
      <c r="E157" s="55"/>
      <c r="F157" s="55"/>
      <c r="G157" s="55"/>
      <c r="H157" s="37"/>
      <c r="I157" s="37"/>
      <c r="J157" s="37"/>
      <c r="K157" s="37"/>
      <c r="L157" s="37"/>
      <c r="M157" s="37"/>
      <c r="N157" s="37"/>
      <c r="O157" s="37"/>
      <c r="Q157" s="29"/>
    </row>
    <row r="158" spans="1:24" ht="29.25" customHeight="1">
      <c r="A158" s="244" t="s">
        <v>150</v>
      </c>
      <c r="B158" s="39"/>
      <c r="C158" s="242" t="s">
        <v>151</v>
      </c>
      <c r="D158" s="242"/>
      <c r="E158" s="242"/>
      <c r="F158" s="242"/>
      <c r="G158" s="242"/>
      <c r="H158" s="242"/>
      <c r="I158" s="242"/>
      <c r="J158" s="242"/>
      <c r="K158" s="242"/>
      <c r="L158" s="242"/>
      <c r="M158" s="242"/>
      <c r="N158" s="242"/>
      <c r="O158" s="242"/>
    </row>
    <row r="159" spans="1:24" ht="18" customHeight="1">
      <c r="A159" s="245"/>
      <c r="B159" s="250" t="s">
        <v>87</v>
      </c>
      <c r="C159" s="243" t="s">
        <v>15</v>
      </c>
      <c r="D159" s="109">
        <v>828</v>
      </c>
      <c r="E159" s="109" t="s">
        <v>108</v>
      </c>
      <c r="F159" s="109" t="s">
        <v>152</v>
      </c>
      <c r="G159" s="112"/>
      <c r="H159" s="37">
        <f>SUM(H160:H163)</f>
        <v>6978370.5</v>
      </c>
      <c r="I159" s="37">
        <f>SUM(I164:I177)</f>
        <v>8163337.1000000006</v>
      </c>
      <c r="J159" s="37">
        <f>SUM(J164:J177)</f>
        <v>9690184.5</v>
      </c>
      <c r="K159" s="37">
        <f>SUM(K164:K177)</f>
        <v>9480730.4000000004</v>
      </c>
      <c r="L159" s="37">
        <f t="shared" ref="L159:N159" si="25">SUM(L164:L177)</f>
        <v>11981636.699999999</v>
      </c>
      <c r="M159" s="37">
        <f t="shared" si="25"/>
        <v>8917395</v>
      </c>
      <c r="N159" s="37">
        <f t="shared" si="25"/>
        <v>9687202.4000000004</v>
      </c>
      <c r="O159" s="37">
        <f t="shared" ref="O159:O177" si="26">SUM(H159:N159)</f>
        <v>64898856.600000001</v>
      </c>
      <c r="Q159" s="29">
        <f>O159+Q184</f>
        <v>65311825.800000004</v>
      </c>
      <c r="R159" s="29">
        <f t="shared" ref="R159:W159" si="27">I159+I183</f>
        <v>8281572.5000000009</v>
      </c>
      <c r="S159" s="29">
        <f t="shared" si="27"/>
        <v>9860647.9000000004</v>
      </c>
      <c r="T159" s="29">
        <f t="shared" si="27"/>
        <v>9481607</v>
      </c>
      <c r="U159" s="29">
        <f t="shared" si="27"/>
        <v>11981636.699999999</v>
      </c>
      <c r="V159" s="29">
        <f t="shared" si="27"/>
        <v>8917395</v>
      </c>
      <c r="W159" s="29">
        <f t="shared" si="27"/>
        <v>9687202.4000000004</v>
      </c>
      <c r="X159" s="30">
        <f>SUM(Q159:W159)</f>
        <v>123521887.30000003</v>
      </c>
    </row>
    <row r="160" spans="1:24" ht="19.5" customHeight="1">
      <c r="A160" s="245"/>
      <c r="B160" s="250"/>
      <c r="C160" s="243"/>
      <c r="D160" s="109">
        <v>828</v>
      </c>
      <c r="E160" s="109" t="s">
        <v>108</v>
      </c>
      <c r="F160" s="109" t="s">
        <v>153</v>
      </c>
      <c r="G160" s="109" t="s">
        <v>154</v>
      </c>
      <c r="H160" s="37">
        <f>3957951.7+500+813458.2+33723.2+1040</f>
        <v>4806673.1000000006</v>
      </c>
      <c r="I160" s="37"/>
      <c r="J160" s="37"/>
      <c r="K160" s="37"/>
      <c r="L160" s="37"/>
      <c r="M160" s="37"/>
      <c r="N160" s="37"/>
      <c r="O160" s="37">
        <f t="shared" si="26"/>
        <v>4806673.1000000006</v>
      </c>
    </row>
    <row r="161" spans="1:18" ht="19.5" customHeight="1">
      <c r="A161" s="245"/>
      <c r="B161" s="250"/>
      <c r="C161" s="243"/>
      <c r="D161" s="109">
        <v>828</v>
      </c>
      <c r="E161" s="109" t="s">
        <v>108</v>
      </c>
      <c r="F161" s="109" t="s">
        <v>155</v>
      </c>
      <c r="G161" s="109" t="s">
        <v>156</v>
      </c>
      <c r="H161" s="37">
        <f>173842.1+22328-15066</f>
        <v>181104.1</v>
      </c>
      <c r="I161" s="37"/>
      <c r="J161" s="37"/>
      <c r="K161" s="37"/>
      <c r="L161" s="37"/>
      <c r="M161" s="37"/>
      <c r="N161" s="37"/>
      <c r="O161" s="37">
        <f t="shared" si="26"/>
        <v>181104.1</v>
      </c>
    </row>
    <row r="162" spans="1:18" ht="18.75" customHeight="1">
      <c r="A162" s="245"/>
      <c r="B162" s="250"/>
      <c r="C162" s="243"/>
      <c r="D162" s="109">
        <v>828</v>
      </c>
      <c r="E162" s="109" t="s">
        <v>108</v>
      </c>
      <c r="F162" s="109" t="s">
        <v>157</v>
      </c>
      <c r="G162" s="71">
        <v>500</v>
      </c>
      <c r="H162" s="37">
        <v>1860280.2</v>
      </c>
      <c r="I162" s="37"/>
      <c r="J162" s="37"/>
      <c r="K162" s="37"/>
      <c r="L162" s="37"/>
      <c r="M162" s="37"/>
      <c r="N162" s="37"/>
      <c r="O162" s="37">
        <f t="shared" si="26"/>
        <v>1860280.2</v>
      </c>
    </row>
    <row r="163" spans="1:18" ht="22.5" customHeight="1">
      <c r="A163" s="245"/>
      <c r="B163" s="250"/>
      <c r="C163" s="243"/>
      <c r="D163" s="109">
        <v>828</v>
      </c>
      <c r="E163" s="109" t="s">
        <v>108</v>
      </c>
      <c r="F163" s="109" t="s">
        <v>158</v>
      </c>
      <c r="G163" s="109" t="s">
        <v>154</v>
      </c>
      <c r="H163" s="37">
        <f>88921.3+32508.6+8883.2</f>
        <v>130313.09999999999</v>
      </c>
      <c r="I163" s="37"/>
      <c r="J163" s="37"/>
      <c r="K163" s="37"/>
      <c r="L163" s="37"/>
      <c r="M163" s="37"/>
      <c r="N163" s="37"/>
      <c r="O163" s="37">
        <f t="shared" si="26"/>
        <v>130313.09999999999</v>
      </c>
    </row>
    <row r="164" spans="1:18" ht="21" customHeight="1">
      <c r="A164" s="245"/>
      <c r="B164" s="250"/>
      <c r="C164" s="243"/>
      <c r="D164" s="109">
        <v>828</v>
      </c>
      <c r="E164" s="109" t="s">
        <v>108</v>
      </c>
      <c r="F164" s="109" t="s">
        <v>159</v>
      </c>
      <c r="G164" s="109">
        <v>200</v>
      </c>
      <c r="H164" s="37"/>
      <c r="I164" s="62">
        <v>3552021.8000000003</v>
      </c>
      <c r="J164" s="51">
        <v>4434605.2</v>
      </c>
      <c r="K164" s="51">
        <v>4767428.2</v>
      </c>
      <c r="L164" s="51">
        <v>4953385.2</v>
      </c>
      <c r="M164" s="51">
        <v>5367431.9000000004</v>
      </c>
      <c r="N164" s="51">
        <v>5811438.5</v>
      </c>
      <c r="O164" s="37">
        <f>SUM(H164:N164)</f>
        <v>28886310.799999997</v>
      </c>
      <c r="R164" s="29"/>
    </row>
    <row r="165" spans="1:18" ht="21" customHeight="1">
      <c r="A165" s="245"/>
      <c r="B165" s="250"/>
      <c r="C165" s="243"/>
      <c r="D165" s="109">
        <v>828</v>
      </c>
      <c r="E165" s="109" t="s">
        <v>108</v>
      </c>
      <c r="F165" s="109" t="s">
        <v>159</v>
      </c>
      <c r="G165" s="109">
        <v>800</v>
      </c>
      <c r="H165" s="37"/>
      <c r="I165" s="62">
        <v>1575</v>
      </c>
      <c r="J165" s="51">
        <v>5000</v>
      </c>
      <c r="K165" s="51">
        <v>5000</v>
      </c>
      <c r="L165" s="51">
        <v>5000</v>
      </c>
      <c r="M165" s="51">
        <v>5000</v>
      </c>
      <c r="N165" s="51">
        <v>5000</v>
      </c>
      <c r="O165" s="37">
        <f t="shared" si="26"/>
        <v>26575</v>
      </c>
    </row>
    <row r="166" spans="1:18" ht="21" customHeight="1">
      <c r="A166" s="245"/>
      <c r="B166" s="250"/>
      <c r="C166" s="243"/>
      <c r="D166" s="109">
        <v>828</v>
      </c>
      <c r="E166" s="109" t="s">
        <v>108</v>
      </c>
      <c r="F166" s="109" t="s">
        <v>160</v>
      </c>
      <c r="G166" s="109">
        <v>200</v>
      </c>
      <c r="H166" s="37"/>
      <c r="I166" s="124">
        <v>337657.4</v>
      </c>
      <c r="J166" s="124">
        <v>258297</v>
      </c>
      <c r="K166" s="124">
        <v>299402</v>
      </c>
      <c r="L166" s="124">
        <v>233876</v>
      </c>
      <c r="M166" s="124">
        <v>239641.5</v>
      </c>
      <c r="N166" s="124">
        <v>239641.5</v>
      </c>
      <c r="O166" s="37">
        <f t="shared" si="26"/>
        <v>1608515.4</v>
      </c>
    </row>
    <row r="167" spans="1:18" ht="21" customHeight="1">
      <c r="A167" s="245"/>
      <c r="B167" s="250"/>
      <c r="C167" s="243"/>
      <c r="D167" s="109">
        <v>828</v>
      </c>
      <c r="E167" s="109" t="s">
        <v>108</v>
      </c>
      <c r="F167" s="109" t="s">
        <v>160</v>
      </c>
      <c r="G167" s="109">
        <v>600</v>
      </c>
      <c r="H167" s="37"/>
      <c r="I167" s="124">
        <v>24075</v>
      </c>
      <c r="J167" s="124">
        <v>24774</v>
      </c>
      <c r="K167" s="124">
        <v>25363</v>
      </c>
      <c r="L167" s="124">
        <v>25363</v>
      </c>
      <c r="M167" s="124">
        <v>25363</v>
      </c>
      <c r="N167" s="124">
        <v>25363</v>
      </c>
      <c r="O167" s="37">
        <f t="shared" si="26"/>
        <v>150301</v>
      </c>
      <c r="Q167" s="13" t="s">
        <v>211</v>
      </c>
    </row>
    <row r="168" spans="1:18" ht="21" customHeight="1">
      <c r="A168" s="245"/>
      <c r="B168" s="250"/>
      <c r="C168" s="243"/>
      <c r="D168" s="109">
        <v>828</v>
      </c>
      <c r="E168" s="109" t="s">
        <v>108</v>
      </c>
      <c r="F168" s="109" t="s">
        <v>161</v>
      </c>
      <c r="G168" s="109">
        <v>200</v>
      </c>
      <c r="H168" s="37"/>
      <c r="I168" s="125">
        <v>113681.79999999999</v>
      </c>
      <c r="J168" s="125">
        <v>177000</v>
      </c>
      <c r="K168" s="125">
        <v>184000</v>
      </c>
      <c r="L168" s="125">
        <v>184000</v>
      </c>
      <c r="M168" s="125">
        <v>184000</v>
      </c>
      <c r="N168" s="125">
        <v>184000</v>
      </c>
      <c r="O168" s="37">
        <f t="shared" si="26"/>
        <v>1026681.8</v>
      </c>
    </row>
    <row r="169" spans="1:18" ht="21" customHeight="1">
      <c r="A169" s="245"/>
      <c r="B169" s="250"/>
      <c r="C169" s="243"/>
      <c r="D169" s="109">
        <v>828</v>
      </c>
      <c r="E169" s="109" t="s">
        <v>108</v>
      </c>
      <c r="F169" s="109" t="s">
        <v>162</v>
      </c>
      <c r="G169" s="109">
        <v>200</v>
      </c>
      <c r="H169" s="37"/>
      <c r="I169" s="51">
        <v>1975762.1</v>
      </c>
      <c r="J169" s="51">
        <v>779631.8</v>
      </c>
      <c r="K169" s="51">
        <v>2514203.7999999998</v>
      </c>
      <c r="L169" s="51">
        <f>4802138.4+924874.1</f>
        <v>5727012.5</v>
      </c>
      <c r="M169" s="46">
        <f>5400000+807447-3000000-816488.4</f>
        <v>2390958.6</v>
      </c>
      <c r="N169" s="66">
        <f>5500000+907447-3000000-690687.6</f>
        <v>2716759.4</v>
      </c>
      <c r="O169" s="37">
        <f t="shared" si="26"/>
        <v>16104328.199999999</v>
      </c>
    </row>
    <row r="170" spans="1:18" ht="21" customHeight="1">
      <c r="A170" s="245"/>
      <c r="B170" s="250"/>
      <c r="C170" s="243"/>
      <c r="D170" s="109">
        <v>828</v>
      </c>
      <c r="E170" s="109" t="s">
        <v>108</v>
      </c>
      <c r="F170" s="109" t="s">
        <v>163</v>
      </c>
      <c r="G170" s="109">
        <v>500</v>
      </c>
      <c r="H170" s="37"/>
      <c r="I170" s="118">
        <v>1823321.9</v>
      </c>
      <c r="J170" s="51">
        <v>2659103</v>
      </c>
      <c r="K170" s="118">
        <v>13733.4</v>
      </c>
      <c r="L170" s="37"/>
      <c r="M170" s="37"/>
      <c r="N170" s="37"/>
      <c r="O170" s="37">
        <f t="shared" si="26"/>
        <v>4496158.3000000007</v>
      </c>
    </row>
    <row r="171" spans="1:18" ht="21" customHeight="1">
      <c r="A171" s="245"/>
      <c r="B171" s="250"/>
      <c r="C171" s="243"/>
      <c r="D171" s="109">
        <v>828</v>
      </c>
      <c r="E171" s="109" t="s">
        <v>108</v>
      </c>
      <c r="F171" s="109" t="s">
        <v>164</v>
      </c>
      <c r="G171" s="109">
        <v>200</v>
      </c>
      <c r="H171" s="37"/>
      <c r="I171" s="51"/>
      <c r="J171" s="51">
        <v>388133.7</v>
      </c>
      <c r="K171" s="51">
        <v>289000</v>
      </c>
      <c r="L171" s="51">
        <v>248000</v>
      </c>
      <c r="M171" s="51">
        <v>100000</v>
      </c>
      <c r="N171" s="126">
        <v>100000</v>
      </c>
      <c r="O171" s="37">
        <f t="shared" si="26"/>
        <v>1125133.7</v>
      </c>
    </row>
    <row r="172" spans="1:18" ht="21" hidden="1" customHeight="1">
      <c r="A172" s="245"/>
      <c r="B172" s="250"/>
      <c r="C172" s="243"/>
      <c r="D172" s="109">
        <v>828</v>
      </c>
      <c r="E172" s="109" t="s">
        <v>108</v>
      </c>
      <c r="F172" s="109" t="s">
        <v>165</v>
      </c>
      <c r="G172" s="109">
        <v>500</v>
      </c>
      <c r="H172" s="37"/>
      <c r="I172" s="37"/>
      <c r="J172" s="37"/>
      <c r="K172" s="37"/>
      <c r="L172" s="37"/>
      <c r="M172" s="37"/>
      <c r="N172" s="37"/>
      <c r="O172" s="37">
        <f t="shared" si="26"/>
        <v>0</v>
      </c>
    </row>
    <row r="173" spans="1:18" ht="21" customHeight="1">
      <c r="A173" s="245"/>
      <c r="B173" s="250"/>
      <c r="C173" s="243"/>
      <c r="D173" s="71">
        <v>828</v>
      </c>
      <c r="E173" s="71" t="s">
        <v>108</v>
      </c>
      <c r="F173" s="71" t="s">
        <v>166</v>
      </c>
      <c r="G173" s="71">
        <v>200</v>
      </c>
      <c r="H173" s="37"/>
      <c r="I173" s="51">
        <f>246891.4-8000-4000</f>
        <v>234891.4</v>
      </c>
      <c r="J173" s="51">
        <v>552452</v>
      </c>
      <c r="K173" s="51">
        <v>722000</v>
      </c>
      <c r="L173" s="51">
        <v>250000</v>
      </c>
      <c r="M173" s="51">
        <v>250000</v>
      </c>
      <c r="N173" s="118">
        <v>250000</v>
      </c>
      <c r="O173" s="37">
        <f t="shared" si="26"/>
        <v>2259343.4</v>
      </c>
    </row>
    <row r="174" spans="1:18" ht="21" customHeight="1">
      <c r="A174" s="245"/>
      <c r="B174" s="250"/>
      <c r="C174" s="243"/>
      <c r="D174" s="71">
        <v>828</v>
      </c>
      <c r="E174" s="71" t="s">
        <v>108</v>
      </c>
      <c r="F174" s="71" t="s">
        <v>167</v>
      </c>
      <c r="G174" s="71">
        <v>200</v>
      </c>
      <c r="H174" s="37"/>
      <c r="I174" s="37"/>
      <c r="J174" s="51">
        <f>66970.8+50000</f>
        <v>116970.8</v>
      </c>
      <c r="K174" s="51">
        <v>305000</v>
      </c>
      <c r="L174" s="37"/>
      <c r="M174" s="37"/>
      <c r="N174" s="37"/>
      <c r="O174" s="37">
        <f t="shared" si="26"/>
        <v>421970.8</v>
      </c>
    </row>
    <row r="175" spans="1:18" ht="21" customHeight="1">
      <c r="A175" s="245"/>
      <c r="B175" s="250"/>
      <c r="C175" s="243"/>
      <c r="D175" s="71">
        <v>828</v>
      </c>
      <c r="E175" s="71" t="s">
        <v>108</v>
      </c>
      <c r="F175" s="71" t="s">
        <v>168</v>
      </c>
      <c r="G175" s="71">
        <v>200</v>
      </c>
      <c r="H175" s="37"/>
      <c r="I175" s="121">
        <v>14524.4</v>
      </c>
      <c r="J175" s="72">
        <v>174800</v>
      </c>
      <c r="K175" s="72">
        <v>250000</v>
      </c>
      <c r="L175" s="72">
        <v>250000</v>
      </c>
      <c r="M175" s="72">
        <v>250000</v>
      </c>
      <c r="N175" s="72">
        <v>250000</v>
      </c>
      <c r="O175" s="37">
        <f t="shared" si="26"/>
        <v>1189324.3999999999</v>
      </c>
    </row>
    <row r="176" spans="1:18" ht="21" customHeight="1">
      <c r="A176" s="245"/>
      <c r="B176" s="250"/>
      <c r="C176" s="243"/>
      <c r="D176" s="71">
        <v>828</v>
      </c>
      <c r="E176" s="71" t="s">
        <v>108</v>
      </c>
      <c r="F176" s="71" t="s">
        <v>169</v>
      </c>
      <c r="G176" s="71">
        <v>200</v>
      </c>
      <c r="H176" s="37"/>
      <c r="I176" s="46">
        <v>76932.7</v>
      </c>
      <c r="J176" s="46">
        <v>119417</v>
      </c>
      <c r="K176" s="46">
        <v>105600</v>
      </c>
      <c r="L176" s="46">
        <v>105000</v>
      </c>
      <c r="M176" s="127">
        <v>105000</v>
      </c>
      <c r="N176" s="127">
        <v>105000</v>
      </c>
      <c r="O176" s="37">
        <f t="shared" si="26"/>
        <v>616949.69999999995</v>
      </c>
    </row>
    <row r="177" spans="1:24" ht="18" customHeight="1">
      <c r="A177" s="245"/>
      <c r="B177" s="250"/>
      <c r="C177" s="243"/>
      <c r="D177" s="71">
        <v>828</v>
      </c>
      <c r="E177" s="71" t="s">
        <v>108</v>
      </c>
      <c r="F177" s="71" t="s">
        <v>169</v>
      </c>
      <c r="G177" s="71">
        <v>800</v>
      </c>
      <c r="H177" s="37"/>
      <c r="I177" s="46">
        <v>8893.6</v>
      </c>
      <c r="J177" s="46"/>
      <c r="K177" s="46"/>
      <c r="L177" s="46"/>
      <c r="M177" s="127"/>
      <c r="N177" s="128"/>
      <c r="O177" s="37">
        <f t="shared" si="26"/>
        <v>8893.6</v>
      </c>
    </row>
    <row r="178" spans="1:24" ht="32.25" customHeight="1">
      <c r="A178" s="245"/>
      <c r="B178" s="250"/>
      <c r="C178" s="112" t="s">
        <v>17</v>
      </c>
      <c r="D178" s="55"/>
      <c r="E178" s="55"/>
      <c r="F178" s="55"/>
      <c r="G178" s="55"/>
      <c r="H178" s="37"/>
      <c r="I178" s="37"/>
      <c r="J178" s="37"/>
      <c r="K178" s="37"/>
      <c r="L178" s="37"/>
      <c r="M178" s="37"/>
      <c r="N178" s="37"/>
      <c r="O178" s="37"/>
    </row>
    <row r="179" spans="1:24" ht="36.75" customHeight="1">
      <c r="A179" s="245"/>
      <c r="B179" s="250"/>
      <c r="C179" s="112" t="s">
        <v>18</v>
      </c>
      <c r="D179" s="56"/>
      <c r="E179" s="56"/>
      <c r="F179" s="56"/>
      <c r="G179" s="56"/>
      <c r="H179" s="37"/>
      <c r="I179" s="37"/>
      <c r="J179" s="37"/>
      <c r="K179" s="37"/>
      <c r="L179" s="37"/>
      <c r="M179" s="37"/>
      <c r="N179" s="37"/>
      <c r="O179" s="37"/>
    </row>
    <row r="180" spans="1:24" ht="26.25" customHeight="1">
      <c r="A180" s="245"/>
      <c r="B180" s="250"/>
      <c r="C180" s="39" t="s">
        <v>109</v>
      </c>
      <c r="D180" s="56"/>
      <c r="E180" s="56"/>
      <c r="F180" s="56"/>
      <c r="G180" s="56"/>
      <c r="H180" s="37">
        <f>H162</f>
        <v>1860280.2</v>
      </c>
      <c r="I180" s="37">
        <f t="shared" ref="I180:N180" si="28">I170</f>
        <v>1823321.9</v>
      </c>
      <c r="J180" s="37">
        <f t="shared" si="28"/>
        <v>2659103</v>
      </c>
      <c r="K180" s="37">
        <f t="shared" si="28"/>
        <v>13733.4</v>
      </c>
      <c r="L180" s="37">
        <f t="shared" si="28"/>
        <v>0</v>
      </c>
      <c r="M180" s="37">
        <f t="shared" si="28"/>
        <v>0</v>
      </c>
      <c r="N180" s="37">
        <f t="shared" si="28"/>
        <v>0</v>
      </c>
      <c r="O180" s="37">
        <f>SUM(H180:N180)</f>
        <v>6356438.5</v>
      </c>
    </row>
    <row r="181" spans="1:24" ht="69.75" customHeight="1">
      <c r="A181" s="245"/>
      <c r="B181" s="250"/>
      <c r="C181" s="112" t="s">
        <v>20</v>
      </c>
      <c r="D181" s="55"/>
      <c r="E181" s="55"/>
      <c r="F181" s="55"/>
      <c r="G181" s="55"/>
      <c r="H181" s="37"/>
      <c r="I181" s="37"/>
      <c r="J181" s="37"/>
      <c r="K181" s="37"/>
      <c r="L181" s="37"/>
      <c r="M181" s="37"/>
      <c r="N181" s="37"/>
      <c r="O181" s="37"/>
    </row>
    <row r="182" spans="1:24" ht="48" customHeight="1">
      <c r="A182" s="245"/>
      <c r="B182" s="250"/>
      <c r="C182" s="112" t="s">
        <v>21</v>
      </c>
      <c r="D182" s="55"/>
      <c r="E182" s="55"/>
      <c r="F182" s="55"/>
      <c r="G182" s="55"/>
      <c r="H182" s="37"/>
      <c r="I182" s="37"/>
      <c r="J182" s="37"/>
      <c r="K182" s="37"/>
      <c r="L182" s="37"/>
      <c r="M182" s="37"/>
      <c r="N182" s="37"/>
      <c r="O182" s="37"/>
    </row>
    <row r="183" spans="1:24" ht="18.75" hidden="1" customHeight="1">
      <c r="A183" s="245"/>
      <c r="B183" s="250"/>
      <c r="C183" s="75" t="s">
        <v>202</v>
      </c>
      <c r="D183" s="76"/>
      <c r="E183" s="76"/>
      <c r="F183" s="76"/>
      <c r="G183" s="76"/>
      <c r="H183" s="80">
        <f>119403.7+3990.1</f>
        <v>123393.8</v>
      </c>
      <c r="I183" s="129">
        <v>118235.4</v>
      </c>
      <c r="J183" s="123">
        <v>170463.4</v>
      </c>
      <c r="K183" s="129">
        <v>876.6</v>
      </c>
      <c r="L183" s="77">
        <v>0</v>
      </c>
      <c r="M183" s="77">
        <v>0</v>
      </c>
      <c r="N183" s="77">
        <v>0</v>
      </c>
      <c r="O183" s="77">
        <f>SUM(H183:N183)</f>
        <v>412969.19999999995</v>
      </c>
    </row>
    <row r="184" spans="1:24" ht="18.75" customHeight="1">
      <c r="A184" s="245"/>
      <c r="B184" s="250"/>
      <c r="C184" s="112" t="s">
        <v>22</v>
      </c>
      <c r="D184" s="56"/>
      <c r="E184" s="56"/>
      <c r="F184" s="56"/>
      <c r="G184" s="56"/>
      <c r="H184" s="37">
        <f>H180+H183</f>
        <v>1983674</v>
      </c>
      <c r="I184" s="37">
        <f t="shared" ref="I184:N184" si="29">I180+I183</f>
        <v>1941557.2999999998</v>
      </c>
      <c r="J184" s="37">
        <f t="shared" si="29"/>
        <v>2829566.4</v>
      </c>
      <c r="K184" s="37">
        <f>K180+K183</f>
        <v>14610</v>
      </c>
      <c r="L184" s="37">
        <f t="shared" si="29"/>
        <v>0</v>
      </c>
      <c r="M184" s="37">
        <f t="shared" si="29"/>
        <v>0</v>
      </c>
      <c r="N184" s="37">
        <f t="shared" si="29"/>
        <v>0</v>
      </c>
      <c r="O184" s="37">
        <f>O180+O183</f>
        <v>6769407.7000000002</v>
      </c>
      <c r="Q184" s="77">
        <f>SUM(H183:N183)</f>
        <v>412969.19999999995</v>
      </c>
    </row>
    <row r="185" spans="1:24" ht="21" customHeight="1">
      <c r="A185" s="246"/>
      <c r="B185" s="250"/>
      <c r="C185" s="112" t="s">
        <v>23</v>
      </c>
      <c r="D185" s="55"/>
      <c r="E185" s="55"/>
      <c r="F185" s="55"/>
      <c r="G185" s="55"/>
      <c r="H185" s="37"/>
      <c r="I185" s="37"/>
      <c r="J185" s="37"/>
      <c r="K185" s="37"/>
      <c r="L185" s="37"/>
      <c r="M185" s="37"/>
      <c r="N185" s="37"/>
      <c r="O185" s="37"/>
    </row>
    <row r="186" spans="1:24" ht="28.5" customHeight="1">
      <c r="A186" s="244" t="s">
        <v>170</v>
      </c>
      <c r="B186" s="187"/>
      <c r="C186" s="242" t="s">
        <v>92</v>
      </c>
      <c r="D186" s="242"/>
      <c r="E186" s="242"/>
      <c r="F186" s="242"/>
      <c r="G186" s="242"/>
      <c r="H186" s="242"/>
      <c r="I186" s="242"/>
      <c r="J186" s="242"/>
      <c r="K186" s="242"/>
      <c r="L186" s="242"/>
      <c r="M186" s="242"/>
      <c r="N186" s="242"/>
      <c r="O186" s="242"/>
    </row>
    <row r="187" spans="1:24" ht="36" customHeight="1">
      <c r="A187" s="245"/>
      <c r="B187" s="187" t="s">
        <v>92</v>
      </c>
      <c r="C187" s="261" t="s">
        <v>15</v>
      </c>
      <c r="D187" s="71">
        <v>828</v>
      </c>
      <c r="E187" s="67" t="s">
        <v>171</v>
      </c>
      <c r="F187" s="71" t="s">
        <v>172</v>
      </c>
      <c r="G187" s="187"/>
      <c r="H187" s="37">
        <f t="shared" ref="H187:N187" si="30">SUM(H188:H201)</f>
        <v>1725640.4000000001</v>
      </c>
      <c r="I187" s="37">
        <f>SUM(I188:I201)</f>
        <v>1471947.7000000002</v>
      </c>
      <c r="J187" s="37">
        <f>SUM(J188:J201)</f>
        <v>1961970.7</v>
      </c>
      <c r="K187" s="37">
        <f t="shared" si="30"/>
        <v>1942708.5</v>
      </c>
      <c r="L187" s="37">
        <f>SUM(L188:L201)</f>
        <v>1988911.5</v>
      </c>
      <c r="M187" s="37">
        <f>SUM(M188:M201)</f>
        <v>2054058</v>
      </c>
      <c r="N187" s="37">
        <f t="shared" si="30"/>
        <v>1538578.2</v>
      </c>
      <c r="O187" s="37">
        <f t="shared" ref="O187:O201" si="31">SUM(H187:N187)</f>
        <v>12683815</v>
      </c>
      <c r="Q187" s="29">
        <f t="shared" ref="Q187:X187" si="32">H187+H207</f>
        <v>1726767.5000000002</v>
      </c>
      <c r="R187" s="29">
        <f t="shared" si="32"/>
        <v>1473465.6</v>
      </c>
      <c r="S187" s="29">
        <f t="shared" si="32"/>
        <v>1963444.5999999999</v>
      </c>
      <c r="T187" s="29">
        <f t="shared" si="32"/>
        <v>1944155.1</v>
      </c>
      <c r="U187" s="29">
        <f t="shared" si="32"/>
        <v>1990385.4</v>
      </c>
      <c r="V187" s="29">
        <f t="shared" si="32"/>
        <v>2055531.9</v>
      </c>
      <c r="W187" s="29">
        <f t="shared" si="32"/>
        <v>1540052.0999999999</v>
      </c>
      <c r="X187" s="30">
        <f t="shared" si="32"/>
        <v>12693802.199999999</v>
      </c>
    </row>
    <row r="188" spans="1:24" ht="21.75" customHeight="1">
      <c r="A188" s="245"/>
      <c r="B188" s="187"/>
      <c r="C188" s="262"/>
      <c r="D188" s="71">
        <v>828</v>
      </c>
      <c r="E188" s="67" t="s">
        <v>173</v>
      </c>
      <c r="F188" s="71" t="s">
        <v>174</v>
      </c>
      <c r="G188" s="71">
        <v>500</v>
      </c>
      <c r="H188" s="51">
        <v>20436</v>
      </c>
      <c r="I188" s="51">
        <v>20993</v>
      </c>
      <c r="J188" s="51">
        <v>20993</v>
      </c>
      <c r="K188" s="51">
        <v>20993</v>
      </c>
      <c r="L188" s="51">
        <v>20993</v>
      </c>
      <c r="M188" s="51">
        <v>20993</v>
      </c>
      <c r="N188" s="51">
        <v>20993</v>
      </c>
      <c r="O188" s="37">
        <f t="shared" si="31"/>
        <v>146394</v>
      </c>
    </row>
    <row r="189" spans="1:24" ht="21.75" customHeight="1">
      <c r="A189" s="245"/>
      <c r="B189" s="187"/>
      <c r="C189" s="262"/>
      <c r="D189" s="71">
        <v>828</v>
      </c>
      <c r="E189" s="71" t="s">
        <v>173</v>
      </c>
      <c r="F189" s="71" t="s">
        <v>175</v>
      </c>
      <c r="G189" s="71">
        <v>500</v>
      </c>
      <c r="H189" s="130">
        <v>12936.8</v>
      </c>
      <c r="I189" s="46">
        <f>15431.3+712</f>
        <v>16143.3</v>
      </c>
      <c r="J189" s="131">
        <v>15431.3</v>
      </c>
      <c r="K189" s="131">
        <v>15431.3</v>
      </c>
      <c r="L189" s="131">
        <v>15431.3</v>
      </c>
      <c r="M189" s="131">
        <v>15431.3</v>
      </c>
      <c r="N189" s="131">
        <v>15431.3</v>
      </c>
      <c r="O189" s="37">
        <f t="shared" si="31"/>
        <v>106236.6</v>
      </c>
    </row>
    <row r="190" spans="1:24" ht="21.75" customHeight="1">
      <c r="A190" s="245"/>
      <c r="B190" s="187"/>
      <c r="C190" s="262"/>
      <c r="D190" s="71">
        <v>812</v>
      </c>
      <c r="E190" s="71" t="s">
        <v>176</v>
      </c>
      <c r="F190" s="71" t="s">
        <v>174</v>
      </c>
      <c r="G190" s="71">
        <v>500</v>
      </c>
      <c r="H190" s="37">
        <v>200</v>
      </c>
      <c r="I190" s="37"/>
      <c r="J190" s="37"/>
      <c r="K190" s="37"/>
      <c r="L190" s="37"/>
      <c r="M190" s="37"/>
      <c r="N190" s="37"/>
      <c r="O190" s="37">
        <f t="shared" si="31"/>
        <v>200</v>
      </c>
    </row>
    <row r="191" spans="1:24" ht="21.75" customHeight="1">
      <c r="A191" s="245"/>
      <c r="B191" s="187"/>
      <c r="C191" s="262"/>
      <c r="D191" s="71">
        <v>828</v>
      </c>
      <c r="E191" s="67" t="s">
        <v>173</v>
      </c>
      <c r="F191" s="71" t="s">
        <v>177</v>
      </c>
      <c r="G191" s="71">
        <v>500</v>
      </c>
      <c r="H191" s="37">
        <v>163.19999999999999</v>
      </c>
      <c r="I191" s="37">
        <v>163.19999999999999</v>
      </c>
      <c r="J191" s="37">
        <v>163.19999999999999</v>
      </c>
      <c r="K191" s="37">
        <v>163.19999999999999</v>
      </c>
      <c r="L191" s="37">
        <v>163.19999999999999</v>
      </c>
      <c r="M191" s="37">
        <v>163.19999999999999</v>
      </c>
      <c r="N191" s="37">
        <v>163.19999999999999</v>
      </c>
      <c r="O191" s="37">
        <f t="shared" si="31"/>
        <v>1142.4000000000001</v>
      </c>
      <c r="R191" s="29"/>
    </row>
    <row r="192" spans="1:24" ht="21.75" customHeight="1">
      <c r="A192" s="246"/>
      <c r="B192" s="187"/>
      <c r="C192" s="263"/>
      <c r="D192" s="71">
        <v>828</v>
      </c>
      <c r="E192" s="67" t="s">
        <v>173</v>
      </c>
      <c r="F192" s="71" t="s">
        <v>178</v>
      </c>
      <c r="G192" s="71">
        <v>500</v>
      </c>
      <c r="H192" s="37">
        <v>2529.5999999999995</v>
      </c>
      <c r="I192" s="37">
        <v>4549.8</v>
      </c>
      <c r="J192" s="37">
        <v>4691.3999999999996</v>
      </c>
      <c r="K192" s="37">
        <v>4691.3999999999996</v>
      </c>
      <c r="L192" s="37">
        <v>4691.3999999999996</v>
      </c>
      <c r="M192" s="37">
        <v>4691.3999999999996</v>
      </c>
      <c r="N192" s="37">
        <v>4691.3999999999996</v>
      </c>
      <c r="O192" s="37">
        <f t="shared" si="31"/>
        <v>30536.400000000001</v>
      </c>
    </row>
    <row r="193" spans="1:17" ht="21.75" customHeight="1">
      <c r="A193" s="245"/>
      <c r="B193" s="39"/>
      <c r="C193" s="264"/>
      <c r="D193" s="186">
        <v>828</v>
      </c>
      <c r="E193" s="287" t="s">
        <v>173</v>
      </c>
      <c r="F193" s="186" t="s">
        <v>179</v>
      </c>
      <c r="G193" s="186">
        <v>200</v>
      </c>
      <c r="H193" s="288">
        <f>1067892-29045</f>
        <v>1038847</v>
      </c>
      <c r="I193" s="288">
        <v>1217892</v>
      </c>
      <c r="J193" s="288">
        <v>1217892</v>
      </c>
      <c r="K193" s="288">
        <v>1217892</v>
      </c>
      <c r="L193" s="288">
        <v>1217892</v>
      </c>
      <c r="M193" s="288">
        <v>1217892</v>
      </c>
      <c r="N193" s="288">
        <v>1217892</v>
      </c>
      <c r="O193" s="42">
        <f t="shared" si="31"/>
        <v>8346199</v>
      </c>
    </row>
    <row r="194" spans="1:17" ht="21.75" customHeight="1">
      <c r="A194" s="245"/>
      <c r="B194" s="112"/>
      <c r="C194" s="264"/>
      <c r="D194" s="71">
        <v>828</v>
      </c>
      <c r="E194" s="67" t="s">
        <v>173</v>
      </c>
      <c r="F194" s="71" t="s">
        <v>180</v>
      </c>
      <c r="G194" s="71">
        <v>800</v>
      </c>
      <c r="H194" s="37">
        <v>17046.2</v>
      </c>
      <c r="I194" s="68"/>
      <c r="J194" s="37"/>
      <c r="K194" s="37"/>
      <c r="L194" s="37"/>
      <c r="M194" s="37"/>
      <c r="N194" s="37"/>
      <c r="O194" s="37">
        <f t="shared" si="31"/>
        <v>17046.2</v>
      </c>
    </row>
    <row r="195" spans="1:17" ht="21.75" customHeight="1">
      <c r="A195" s="245"/>
      <c r="B195" s="112"/>
      <c r="C195" s="264"/>
      <c r="D195" s="71">
        <v>828</v>
      </c>
      <c r="E195" s="67" t="s">
        <v>173</v>
      </c>
      <c r="F195" s="71" t="s">
        <v>181</v>
      </c>
      <c r="G195" s="71">
        <v>500</v>
      </c>
      <c r="H195" s="62">
        <f>389780-376.2</f>
        <v>389403.8</v>
      </c>
      <c r="I195" s="37"/>
      <c r="J195" s="37"/>
      <c r="K195" s="37"/>
      <c r="L195" s="37"/>
      <c r="M195" s="37"/>
      <c r="N195" s="37"/>
      <c r="O195" s="37">
        <f t="shared" si="31"/>
        <v>389403.8</v>
      </c>
    </row>
    <row r="196" spans="1:17" ht="21.75" customHeight="1">
      <c r="A196" s="245"/>
      <c r="B196" s="112"/>
      <c r="C196" s="264"/>
      <c r="D196" s="71">
        <v>828</v>
      </c>
      <c r="E196" s="67" t="s">
        <v>173</v>
      </c>
      <c r="F196" s="44" t="s">
        <v>204</v>
      </c>
      <c r="G196" s="44">
        <v>200</v>
      </c>
      <c r="H196" s="62"/>
      <c r="I196" s="37"/>
      <c r="J196" s="46">
        <v>457717.1</v>
      </c>
      <c r="K196" s="46">
        <v>438130.3</v>
      </c>
      <c r="L196" s="46">
        <v>182640.6</v>
      </c>
      <c r="M196" s="46">
        <v>105963.3</v>
      </c>
      <c r="N196" s="37"/>
      <c r="O196" s="37">
        <f t="shared" si="31"/>
        <v>1184451.3</v>
      </c>
    </row>
    <row r="197" spans="1:17" ht="21.75" customHeight="1">
      <c r="A197" s="245"/>
      <c r="B197" s="112"/>
      <c r="C197" s="264"/>
      <c r="D197" s="71">
        <v>829</v>
      </c>
      <c r="E197" s="67" t="s">
        <v>173</v>
      </c>
      <c r="F197" s="44" t="s">
        <v>204</v>
      </c>
      <c r="G197" s="71">
        <v>800</v>
      </c>
      <c r="H197" s="62"/>
      <c r="I197" s="37"/>
      <c r="J197" s="46"/>
      <c r="K197" s="46"/>
      <c r="L197" s="46">
        <v>267692.7</v>
      </c>
      <c r="M197" s="46">
        <v>409516.5</v>
      </c>
      <c r="N197" s="37"/>
      <c r="O197" s="37">
        <f t="shared" si="31"/>
        <v>677209.2</v>
      </c>
    </row>
    <row r="198" spans="1:17" ht="21.75" customHeight="1">
      <c r="A198" s="245"/>
      <c r="B198" s="112"/>
      <c r="C198" s="264"/>
      <c r="D198" s="71">
        <v>828</v>
      </c>
      <c r="E198" s="67" t="s">
        <v>173</v>
      </c>
      <c r="F198" s="71" t="s">
        <v>182</v>
      </c>
      <c r="G198" s="71">
        <v>800</v>
      </c>
      <c r="H198" s="46">
        <v>229866</v>
      </c>
      <c r="I198" s="46">
        <f>218091.5-30000+7740.6+59599-59599</f>
        <v>195832.1</v>
      </c>
      <c r="J198" s="46">
        <v>229866</v>
      </c>
      <c r="K198" s="46">
        <v>229866</v>
      </c>
      <c r="L198" s="46">
        <v>229866</v>
      </c>
      <c r="M198" s="46">
        <v>229866</v>
      </c>
      <c r="N198" s="66">
        <v>229866</v>
      </c>
      <c r="O198" s="37">
        <f t="shared" si="31"/>
        <v>1575028.1</v>
      </c>
    </row>
    <row r="199" spans="1:17" ht="21.75" customHeight="1">
      <c r="A199" s="245"/>
      <c r="B199" s="112"/>
      <c r="C199" s="264"/>
      <c r="D199" s="71">
        <v>810</v>
      </c>
      <c r="E199" s="67" t="s">
        <v>173</v>
      </c>
      <c r="F199" s="71" t="s">
        <v>183</v>
      </c>
      <c r="G199" s="71">
        <v>800</v>
      </c>
      <c r="H199" s="132">
        <f>3294+71.8+3500+2386</f>
        <v>9251.7999999999993</v>
      </c>
      <c r="I199" s="131">
        <f>7798.3+2200</f>
        <v>9998.2999999999993</v>
      </c>
      <c r="J199" s="131">
        <v>8116.7</v>
      </c>
      <c r="K199" s="131">
        <v>8441.2999999999993</v>
      </c>
      <c r="L199" s="132">
        <v>8441.2999999999993</v>
      </c>
      <c r="M199" s="132">
        <v>8441.2999999999993</v>
      </c>
      <c r="N199" s="132">
        <v>8441.2999999999993</v>
      </c>
      <c r="O199" s="37">
        <f t="shared" si="31"/>
        <v>61132</v>
      </c>
    </row>
    <row r="200" spans="1:17" ht="18" customHeight="1">
      <c r="A200" s="245"/>
      <c r="B200" s="112"/>
      <c r="C200" s="264"/>
      <c r="D200" s="71">
        <v>828</v>
      </c>
      <c r="E200" s="67" t="s">
        <v>173</v>
      </c>
      <c r="F200" s="71" t="s">
        <v>184</v>
      </c>
      <c r="G200" s="71">
        <v>800</v>
      </c>
      <c r="H200" s="132">
        <f>7100-2140</f>
        <v>4960</v>
      </c>
      <c r="I200" s="131">
        <v>6376</v>
      </c>
      <c r="J200" s="131">
        <v>7100</v>
      </c>
      <c r="K200" s="131">
        <v>7100</v>
      </c>
      <c r="L200" s="132">
        <v>7100</v>
      </c>
      <c r="M200" s="132">
        <v>7100</v>
      </c>
      <c r="N200" s="133">
        <v>7100</v>
      </c>
      <c r="O200" s="37">
        <f t="shared" si="31"/>
        <v>46836</v>
      </c>
    </row>
    <row r="201" spans="1:17" ht="18" customHeight="1">
      <c r="A201" s="245"/>
      <c r="B201" s="112"/>
      <c r="C201" s="265"/>
      <c r="D201" s="71">
        <v>828</v>
      </c>
      <c r="E201" s="67" t="s">
        <v>173</v>
      </c>
      <c r="F201" s="71" t="s">
        <v>185</v>
      </c>
      <c r="G201" s="71">
        <v>800</v>
      </c>
      <c r="H201" s="37"/>
      <c r="I201" s="37"/>
      <c r="J201" s="37"/>
      <c r="K201" s="37"/>
      <c r="L201" s="37">
        <v>34000</v>
      </c>
      <c r="M201" s="37">
        <v>34000</v>
      </c>
      <c r="N201" s="37">
        <v>34000</v>
      </c>
      <c r="O201" s="37">
        <f t="shared" si="31"/>
        <v>102000</v>
      </c>
    </row>
    <row r="202" spans="1:17" ht="34.5" customHeight="1">
      <c r="A202" s="245"/>
      <c r="B202" s="112"/>
      <c r="C202" s="112" t="s">
        <v>17</v>
      </c>
      <c r="D202" s="55"/>
      <c r="E202" s="55"/>
      <c r="F202" s="55"/>
      <c r="G202" s="55"/>
      <c r="H202" s="37"/>
      <c r="I202" s="37"/>
      <c r="J202" s="37"/>
      <c r="K202" s="37"/>
      <c r="L202" s="37"/>
      <c r="M202" s="37"/>
      <c r="N202" s="37"/>
      <c r="O202" s="37"/>
    </row>
    <row r="203" spans="1:17" ht="31.5">
      <c r="A203" s="245"/>
      <c r="B203" s="112"/>
      <c r="C203" s="112" t="s">
        <v>18</v>
      </c>
      <c r="D203" s="56"/>
      <c r="E203" s="56"/>
      <c r="F203" s="56"/>
      <c r="G203" s="56"/>
      <c r="H203" s="37"/>
      <c r="I203" s="37"/>
      <c r="J203" s="37"/>
      <c r="K203" s="37"/>
      <c r="L203" s="37"/>
      <c r="M203" s="37"/>
      <c r="N203" s="37"/>
      <c r="O203" s="37"/>
    </row>
    <row r="204" spans="1:17" ht="22.35" customHeight="1">
      <c r="A204" s="245"/>
      <c r="B204" s="39"/>
      <c r="C204" s="39" t="s">
        <v>109</v>
      </c>
      <c r="D204" s="56"/>
      <c r="E204" s="56"/>
      <c r="F204" s="56"/>
      <c r="G204" s="56"/>
      <c r="H204" s="37">
        <f t="shared" ref="H204" si="33">H188+H189+H190+H191+H192+H195</f>
        <v>425669.39999999997</v>
      </c>
      <c r="I204" s="37">
        <f>I188+I189+I190+I191+I192+I195</f>
        <v>41849.300000000003</v>
      </c>
      <c r="J204" s="37">
        <f t="shared" ref="J204:N204" si="34">J188+J189+J190+J191+J192+J195</f>
        <v>41278.9</v>
      </c>
      <c r="K204" s="37">
        <f t="shared" si="34"/>
        <v>41278.9</v>
      </c>
      <c r="L204" s="37">
        <f t="shared" si="34"/>
        <v>41278.9</v>
      </c>
      <c r="M204" s="37">
        <f t="shared" si="34"/>
        <v>41278.9</v>
      </c>
      <c r="N204" s="37">
        <f t="shared" si="34"/>
        <v>41278.9</v>
      </c>
      <c r="O204" s="37">
        <f>SUM(H204:N204)</f>
        <v>673913.20000000007</v>
      </c>
    </row>
    <row r="205" spans="1:17" ht="52.15" customHeight="1">
      <c r="A205" s="245"/>
      <c r="B205" s="112"/>
      <c r="C205" s="112" t="s">
        <v>20</v>
      </c>
      <c r="D205" s="55"/>
      <c r="E205" s="55"/>
      <c r="F205" s="55"/>
      <c r="G205" s="55"/>
      <c r="H205" s="37"/>
      <c r="I205" s="37"/>
      <c r="J205" s="37"/>
      <c r="K205" s="37"/>
      <c r="L205" s="37"/>
      <c r="M205" s="37"/>
      <c r="N205" s="37"/>
      <c r="O205" s="37"/>
    </row>
    <row r="206" spans="1:17" ht="50.25" customHeight="1">
      <c r="A206" s="245"/>
      <c r="B206" s="112"/>
      <c r="C206" s="112" t="s">
        <v>21</v>
      </c>
      <c r="D206" s="55"/>
      <c r="E206" s="55"/>
      <c r="F206" s="55"/>
      <c r="G206" s="55"/>
      <c r="H206" s="37"/>
      <c r="I206" s="37"/>
      <c r="J206" s="37"/>
      <c r="K206" s="37"/>
      <c r="L206" s="37"/>
      <c r="M206" s="37"/>
      <c r="N206" s="37"/>
      <c r="O206" s="37"/>
    </row>
    <row r="207" spans="1:17" ht="21" hidden="1" customHeight="1">
      <c r="A207" s="245"/>
      <c r="B207" s="112"/>
      <c r="C207" s="75" t="s">
        <v>202</v>
      </c>
      <c r="D207" s="76"/>
      <c r="E207" s="76"/>
      <c r="F207" s="76"/>
      <c r="G207" s="76"/>
      <c r="H207" s="80">
        <v>1127.0999999999999</v>
      </c>
      <c r="I207" s="77">
        <f>1181.3+336.6</f>
        <v>1517.9</v>
      </c>
      <c r="J207" s="77">
        <f>1128.5+345.4</f>
        <v>1473.9</v>
      </c>
      <c r="K207" s="77">
        <f>1130.7+315.9</f>
        <v>1446.6</v>
      </c>
      <c r="L207" s="77">
        <f>1128.5+345.4</f>
        <v>1473.9</v>
      </c>
      <c r="M207" s="77">
        <f t="shared" ref="M207:N207" si="35">1128.5+345.4</f>
        <v>1473.9</v>
      </c>
      <c r="N207" s="77">
        <f t="shared" si="35"/>
        <v>1473.9</v>
      </c>
      <c r="O207" s="77">
        <f>SUM(H207:N207)</f>
        <v>9987.1999999999989</v>
      </c>
    </row>
    <row r="208" spans="1:17" ht="17.25" customHeight="1">
      <c r="A208" s="245"/>
      <c r="B208" s="112"/>
      <c r="C208" s="112" t="s">
        <v>22</v>
      </c>
      <c r="D208" s="56"/>
      <c r="E208" s="56"/>
      <c r="F208" s="56"/>
      <c r="G208" s="56"/>
      <c r="H208" s="62">
        <f>H204+H207</f>
        <v>426796.49999999994</v>
      </c>
      <c r="I208" s="62">
        <f t="shared" ref="I208:N208" si="36">I204+I207</f>
        <v>43367.200000000004</v>
      </c>
      <c r="J208" s="62">
        <f t="shared" si="36"/>
        <v>42752.800000000003</v>
      </c>
      <c r="K208" s="62">
        <f t="shared" si="36"/>
        <v>42725.5</v>
      </c>
      <c r="L208" s="62">
        <f t="shared" si="36"/>
        <v>42752.800000000003</v>
      </c>
      <c r="M208" s="62">
        <f t="shared" si="36"/>
        <v>42752.800000000003</v>
      </c>
      <c r="N208" s="62">
        <f t="shared" si="36"/>
        <v>42752.800000000003</v>
      </c>
      <c r="O208" s="62">
        <f>O204+O207</f>
        <v>683900.4</v>
      </c>
      <c r="Q208" s="29">
        <f>SUM(H207:N207)</f>
        <v>9987.1999999999989</v>
      </c>
    </row>
    <row r="209" spans="1:24" ht="18.75" customHeight="1">
      <c r="A209" s="246"/>
      <c r="B209" s="112"/>
      <c r="C209" s="112" t="s">
        <v>23</v>
      </c>
      <c r="D209" s="55"/>
      <c r="E209" s="55"/>
      <c r="F209" s="55"/>
      <c r="G209" s="55"/>
      <c r="H209" s="37"/>
      <c r="I209" s="37"/>
      <c r="J209" s="37"/>
      <c r="K209" s="37"/>
      <c r="L209" s="37"/>
      <c r="M209" s="37"/>
      <c r="N209" s="37"/>
      <c r="O209" s="37"/>
    </row>
    <row r="210" spans="1:24" ht="36" customHeight="1">
      <c r="A210" s="244" t="s">
        <v>186</v>
      </c>
      <c r="B210" s="112"/>
      <c r="C210" s="242" t="s">
        <v>97</v>
      </c>
      <c r="D210" s="242"/>
      <c r="E210" s="242"/>
      <c r="F210" s="242"/>
      <c r="G210" s="242"/>
      <c r="H210" s="242"/>
      <c r="I210" s="242"/>
      <c r="J210" s="242"/>
      <c r="K210" s="242"/>
      <c r="L210" s="242"/>
      <c r="M210" s="242"/>
      <c r="N210" s="242"/>
      <c r="O210" s="242"/>
    </row>
    <row r="211" spans="1:24" ht="31.5" customHeight="1">
      <c r="A211" s="245"/>
      <c r="B211" s="112" t="s">
        <v>97</v>
      </c>
      <c r="C211" s="243" t="s">
        <v>15</v>
      </c>
      <c r="D211" s="71">
        <v>828</v>
      </c>
      <c r="E211" s="67" t="s">
        <v>187</v>
      </c>
      <c r="F211" s="71" t="s">
        <v>188</v>
      </c>
      <c r="G211" s="112"/>
      <c r="H211" s="37">
        <f t="shared" ref="H211:O211" si="37">SUM(H212:H215)</f>
        <v>224334.5</v>
      </c>
      <c r="I211" s="37">
        <f t="shared" si="37"/>
        <v>266162.3</v>
      </c>
      <c r="J211" s="37">
        <f t="shared" si="37"/>
        <v>250320</v>
      </c>
      <c r="K211" s="37">
        <f t="shared" si="37"/>
        <v>259891</v>
      </c>
      <c r="L211" s="37">
        <f t="shared" si="37"/>
        <v>270286.64</v>
      </c>
      <c r="M211" s="37">
        <f t="shared" si="37"/>
        <v>281098.10560000001</v>
      </c>
      <c r="N211" s="37">
        <f t="shared" si="37"/>
        <v>292341.92982399999</v>
      </c>
      <c r="O211" s="37">
        <f t="shared" si="37"/>
        <v>1844434.4754240001</v>
      </c>
      <c r="Q211" s="29">
        <f t="shared" ref="Q211:W211" si="38">H211</f>
        <v>224334.5</v>
      </c>
      <c r="R211" s="29">
        <f t="shared" si="38"/>
        <v>266162.3</v>
      </c>
      <c r="S211" s="29">
        <f t="shared" si="38"/>
        <v>250320</v>
      </c>
      <c r="T211" s="29">
        <f t="shared" si="38"/>
        <v>259891</v>
      </c>
      <c r="U211" s="29">
        <f t="shared" si="38"/>
        <v>270286.64</v>
      </c>
      <c r="V211" s="29">
        <f t="shared" si="38"/>
        <v>281098.10560000001</v>
      </c>
      <c r="W211" s="29">
        <f t="shared" si="38"/>
        <v>292341.92982399999</v>
      </c>
      <c r="X211" s="30">
        <f>SUM(Q211:W211)</f>
        <v>1844434.4754239998</v>
      </c>
    </row>
    <row r="212" spans="1:24" ht="32.25" customHeight="1">
      <c r="A212" s="245"/>
      <c r="B212" s="112"/>
      <c r="C212" s="243"/>
      <c r="D212" s="71">
        <v>828</v>
      </c>
      <c r="E212" s="67" t="s">
        <v>173</v>
      </c>
      <c r="F212" s="71" t="s">
        <v>189</v>
      </c>
      <c r="G212" s="69" t="s">
        <v>190</v>
      </c>
      <c r="H212" s="62">
        <v>42966.3</v>
      </c>
      <c r="I212" s="131">
        <f>89564-42500+2997.4</f>
        <v>50061.4</v>
      </c>
      <c r="J212" s="51">
        <v>46883</v>
      </c>
      <c r="K212" s="46">
        <v>48672</v>
      </c>
      <c r="L212" s="46">
        <f>K212*1.04</f>
        <v>50618.880000000005</v>
      </c>
      <c r="M212" s="46">
        <f>L212*1.04</f>
        <v>52643.635200000004</v>
      </c>
      <c r="N212" s="66">
        <f>M212*1.04</f>
        <v>54749.380608000007</v>
      </c>
      <c r="O212" s="37">
        <f>SUM(H212:N212)</f>
        <v>346594.59580800007</v>
      </c>
    </row>
    <row r="213" spans="1:24" ht="31.5" customHeight="1">
      <c r="A213" s="245"/>
      <c r="B213" s="112"/>
      <c r="C213" s="243"/>
      <c r="D213" s="71">
        <v>828</v>
      </c>
      <c r="E213" s="67" t="s">
        <v>191</v>
      </c>
      <c r="F213" s="71" t="s">
        <v>192</v>
      </c>
      <c r="G213" s="69" t="s">
        <v>193</v>
      </c>
      <c r="H213" s="37">
        <f>146639.9-600</f>
        <v>146039.9</v>
      </c>
      <c r="I213" s="70"/>
      <c r="J213" s="70"/>
      <c r="K213" s="70"/>
      <c r="L213" s="70"/>
      <c r="M213" s="70"/>
      <c r="N213" s="70"/>
      <c r="O213" s="37">
        <f>SUM(H213:N213)</f>
        <v>146039.9</v>
      </c>
    </row>
    <row r="214" spans="1:24" ht="33.75" customHeight="1">
      <c r="A214" s="245"/>
      <c r="B214" s="112"/>
      <c r="C214" s="243"/>
      <c r="D214" s="71">
        <v>828</v>
      </c>
      <c r="E214" s="67" t="s">
        <v>191</v>
      </c>
      <c r="F214" s="71" t="s">
        <v>194</v>
      </c>
      <c r="G214" s="69" t="s">
        <v>193</v>
      </c>
      <c r="H214" s="37"/>
      <c r="I214" s="46">
        <f>167708-1539+1500+4946.6+950</f>
        <v>173565.6</v>
      </c>
      <c r="J214" s="46">
        <v>162816</v>
      </c>
      <c r="K214" s="46">
        <v>169157</v>
      </c>
      <c r="L214" s="46">
        <f>K214*1.04</f>
        <v>175923.28</v>
      </c>
      <c r="M214" s="46">
        <f>L214*1.04</f>
        <v>182960.21119999999</v>
      </c>
      <c r="N214" s="46">
        <f>M214*1.04-0.1</f>
        <v>190278.51964799999</v>
      </c>
      <c r="O214" s="37">
        <f>SUM(H214:N214)</f>
        <v>1054700.610848</v>
      </c>
    </row>
    <row r="215" spans="1:24" ht="28.5" customHeight="1">
      <c r="A215" s="245"/>
      <c r="B215" s="112"/>
      <c r="C215" s="243"/>
      <c r="D215" s="71">
        <v>828</v>
      </c>
      <c r="E215" s="67" t="s">
        <v>173</v>
      </c>
      <c r="F215" s="71" t="s">
        <v>192</v>
      </c>
      <c r="G215" s="69" t="s">
        <v>190</v>
      </c>
      <c r="H215" s="37">
        <v>35328.300000000003</v>
      </c>
      <c r="I215" s="131">
        <f>40639+274.7+1621.6</f>
        <v>42535.299999999996</v>
      </c>
      <c r="J215" s="46">
        <v>40621</v>
      </c>
      <c r="K215" s="46">
        <v>42062</v>
      </c>
      <c r="L215" s="46">
        <f>K215*1.04</f>
        <v>43744.480000000003</v>
      </c>
      <c r="M215" s="46">
        <f>L215*1.04</f>
        <v>45494.259200000008</v>
      </c>
      <c r="N215" s="46">
        <f>M215*1.04</f>
        <v>47314.029568000013</v>
      </c>
      <c r="O215" s="37">
        <f>SUM(H215:N215)</f>
        <v>297099.36876800004</v>
      </c>
    </row>
    <row r="216" spans="1:24" ht="34.5" customHeight="1">
      <c r="A216" s="245"/>
      <c r="B216" s="112"/>
      <c r="C216" s="112" t="s">
        <v>17</v>
      </c>
      <c r="D216" s="55"/>
      <c r="E216" s="55"/>
      <c r="F216" s="55"/>
      <c r="G216" s="55"/>
      <c r="H216" s="37"/>
      <c r="I216" s="37"/>
      <c r="J216" s="42"/>
      <c r="K216" s="42"/>
      <c r="L216" s="42"/>
      <c r="M216" s="42"/>
      <c r="N216" s="42"/>
      <c r="O216" s="37"/>
    </row>
    <row r="217" spans="1:24" ht="31.5">
      <c r="A217" s="245"/>
      <c r="B217" s="112"/>
      <c r="C217" s="112" t="s">
        <v>18</v>
      </c>
      <c r="D217" s="56"/>
      <c r="E217" s="56"/>
      <c r="F217" s="56"/>
      <c r="G217" s="56"/>
      <c r="H217" s="37"/>
      <c r="I217" s="37"/>
      <c r="J217" s="37"/>
      <c r="K217" s="37"/>
      <c r="L217" s="37"/>
      <c r="M217" s="37"/>
      <c r="N217" s="37"/>
      <c r="O217" s="37"/>
    </row>
    <row r="218" spans="1:24" ht="18" customHeight="1">
      <c r="A218" s="245"/>
      <c r="B218" s="39"/>
      <c r="C218" s="39" t="s">
        <v>109</v>
      </c>
      <c r="D218" s="56"/>
      <c r="E218" s="56"/>
      <c r="F218" s="56"/>
      <c r="G218" s="56"/>
      <c r="H218" s="37"/>
      <c r="I218" s="37"/>
      <c r="J218" s="37"/>
      <c r="K218" s="37"/>
      <c r="L218" s="37"/>
      <c r="M218" s="37"/>
      <c r="N218" s="37"/>
      <c r="O218" s="37"/>
    </row>
    <row r="219" spans="1:24" ht="63" customHeight="1">
      <c r="A219" s="245"/>
      <c r="B219" s="112"/>
      <c r="C219" s="112" t="s">
        <v>20</v>
      </c>
      <c r="D219" s="55"/>
      <c r="E219" s="55"/>
      <c r="F219" s="55"/>
      <c r="G219" s="55"/>
      <c r="H219" s="37"/>
      <c r="I219" s="37"/>
      <c r="J219" s="37"/>
      <c r="K219" s="37"/>
      <c r="L219" s="37"/>
      <c r="M219" s="37"/>
      <c r="N219" s="37"/>
      <c r="O219" s="37"/>
    </row>
    <row r="220" spans="1:24" ht="48" customHeight="1">
      <c r="A220" s="245"/>
      <c r="B220" s="108"/>
      <c r="C220" s="108" t="s">
        <v>21</v>
      </c>
      <c r="D220" s="31"/>
      <c r="E220" s="31"/>
      <c r="F220" s="31"/>
      <c r="G220" s="31"/>
      <c r="H220" s="11"/>
      <c r="I220" s="37"/>
      <c r="J220" s="11"/>
      <c r="K220" s="11"/>
      <c r="L220" s="11"/>
      <c r="M220" s="11"/>
      <c r="N220" s="11"/>
      <c r="O220" s="11"/>
    </row>
    <row r="221" spans="1:24" ht="18.75" customHeight="1">
      <c r="A221" s="245"/>
      <c r="B221" s="108"/>
      <c r="C221" s="108" t="s">
        <v>22</v>
      </c>
      <c r="D221" s="32"/>
      <c r="E221" s="32"/>
      <c r="F221" s="32"/>
      <c r="G221" s="32"/>
      <c r="H221" s="11"/>
      <c r="I221" s="37"/>
      <c r="J221" s="11"/>
      <c r="K221" s="11"/>
      <c r="L221" s="11"/>
      <c r="M221" s="11"/>
      <c r="N221" s="11"/>
      <c r="O221" s="11"/>
    </row>
    <row r="222" spans="1:24" ht="18.75" customHeight="1">
      <c r="A222" s="246"/>
      <c r="B222" s="108"/>
      <c r="C222" s="108" t="s">
        <v>23</v>
      </c>
      <c r="D222" s="31"/>
      <c r="E222" s="31"/>
      <c r="F222" s="31"/>
      <c r="G222" s="31"/>
      <c r="H222" s="11"/>
      <c r="I222" s="37"/>
      <c r="J222" s="11"/>
      <c r="K222" s="11"/>
      <c r="L222" s="11"/>
      <c r="M222" s="11"/>
      <c r="N222" s="11"/>
      <c r="O222" s="11"/>
    </row>
    <row r="223" spans="1:24" ht="24" hidden="1" customHeight="1"/>
    <row r="224" spans="1:24" ht="56.25" hidden="1" customHeight="1">
      <c r="C224" s="34" t="s">
        <v>195</v>
      </c>
      <c r="D224" s="34"/>
      <c r="E224" s="34"/>
      <c r="F224" s="34"/>
      <c r="G224" s="34"/>
      <c r="H224" s="34"/>
      <c r="I224" s="101"/>
      <c r="J224" s="34"/>
      <c r="K224" s="34"/>
      <c r="L224" s="34"/>
      <c r="M224" s="34" t="s">
        <v>196</v>
      </c>
      <c r="N224" s="35"/>
    </row>
    <row r="225" spans="3:14" ht="24" hidden="1" customHeight="1">
      <c r="C225" s="35"/>
      <c r="D225" s="35"/>
      <c r="E225" s="35"/>
      <c r="F225" s="35"/>
      <c r="G225" s="35"/>
      <c r="H225" s="35"/>
      <c r="I225" s="102"/>
      <c r="J225" s="35"/>
      <c r="K225" s="35"/>
      <c r="L225" s="35"/>
      <c r="M225" s="35"/>
      <c r="N225" s="35"/>
    </row>
    <row r="226" spans="3:14" hidden="1"/>
    <row r="227" spans="3:14">
      <c r="I227" s="103"/>
    </row>
    <row r="228" spans="3:14">
      <c r="H228" s="85"/>
      <c r="I228" s="104"/>
      <c r="J228" s="85"/>
      <c r="K228" s="85"/>
      <c r="L228" s="85"/>
    </row>
    <row r="229" spans="3:14">
      <c r="H229" s="86"/>
      <c r="I229" s="105"/>
      <c r="J229" s="87"/>
      <c r="K229" s="87"/>
      <c r="L229" s="87"/>
    </row>
    <row r="230" spans="3:14">
      <c r="H230" s="85"/>
      <c r="I230" s="104"/>
      <c r="J230" s="85"/>
      <c r="K230" s="85"/>
      <c r="L230" s="85"/>
      <c r="M230" s="29"/>
      <c r="N230" s="29"/>
    </row>
    <row r="231" spans="3:14">
      <c r="H231" s="86"/>
      <c r="I231" s="104"/>
      <c r="J231" s="85"/>
      <c r="K231" s="85"/>
      <c r="L231" s="85"/>
    </row>
    <row r="232" spans="3:14">
      <c r="H232" s="85"/>
      <c r="I232" s="104"/>
      <c r="J232" s="85"/>
      <c r="K232" s="85"/>
      <c r="L232" s="85"/>
    </row>
    <row r="234" spans="3:14">
      <c r="H234" s="84" t="s">
        <v>215</v>
      </c>
      <c r="I234" s="106">
        <f>I62</f>
        <v>17203932.800000001</v>
      </c>
      <c r="J234" s="33">
        <f t="shared" ref="J234:L234" si="39">J62</f>
        <v>17974080.199999999</v>
      </c>
      <c r="K234" s="33">
        <f t="shared" si="39"/>
        <v>19193272.399999999</v>
      </c>
      <c r="L234" s="33">
        <f t="shared" si="39"/>
        <v>15148366.84</v>
      </c>
    </row>
    <row r="235" spans="3:14">
      <c r="H235" s="13" t="s">
        <v>210</v>
      </c>
      <c r="I235" s="103">
        <v>18376883.300000001</v>
      </c>
      <c r="J235" s="29">
        <f>1830117.9+47001+43346.8+3672941.1+30334.1+55548.3+1051349.9+10889091.1+162894</f>
        <v>17782624.199999999</v>
      </c>
      <c r="K235" s="29">
        <f>1681849.1+48836+44332.3+6771009.7+95540.6+606165.5+10537827.3+169070</f>
        <v>19954630.5</v>
      </c>
      <c r="L235" s="29">
        <f>1729857.7+50694+45781+6897575.3+96560+855382+10058870.2+174413</f>
        <v>19909133.199999999</v>
      </c>
    </row>
    <row r="236" spans="3:14">
      <c r="H236" s="13" t="s">
        <v>213</v>
      </c>
      <c r="I236" s="103">
        <v>7798.3</v>
      </c>
      <c r="J236" s="29">
        <v>8116.7</v>
      </c>
      <c r="K236" s="29">
        <v>8441.2999999999993</v>
      </c>
      <c r="L236" s="29">
        <v>8441.2999999999993</v>
      </c>
    </row>
    <row r="237" spans="3:14">
      <c r="H237" s="13" t="s">
        <v>214</v>
      </c>
      <c r="I237" s="103">
        <v>24075</v>
      </c>
      <c r="J237" s="29">
        <v>24774</v>
      </c>
      <c r="K237" s="29">
        <v>25420.1</v>
      </c>
      <c r="L237" s="29">
        <v>26093</v>
      </c>
    </row>
    <row r="238" spans="3:14">
      <c r="H238" s="13" t="s">
        <v>217</v>
      </c>
      <c r="I238" s="103">
        <v>104</v>
      </c>
      <c r="J238" s="29"/>
      <c r="K238" s="29"/>
      <c r="L238" s="29"/>
    </row>
    <row r="239" spans="3:14">
      <c r="H239" s="13" t="s">
        <v>216</v>
      </c>
      <c r="I239" s="103">
        <f>356306.4+195794.2</f>
        <v>552100.60000000009</v>
      </c>
      <c r="J239" s="29"/>
      <c r="K239" s="29"/>
      <c r="L239" s="29"/>
    </row>
    <row r="240" spans="3:14" ht="37.5" customHeight="1">
      <c r="H240" s="89" t="s">
        <v>221</v>
      </c>
      <c r="I240" s="106">
        <f>SUM(I235:I238)-I239</f>
        <v>17856760</v>
      </c>
      <c r="J240" s="33">
        <f>SUM(J235:J237)</f>
        <v>17815514.899999999</v>
      </c>
      <c r="K240" s="33">
        <f>SUM(K235:K237)</f>
        <v>19988491.900000002</v>
      </c>
      <c r="L240" s="33">
        <f>SUM(L235:L237)</f>
        <v>19943667.5</v>
      </c>
    </row>
    <row r="241" spans="8:12">
      <c r="I241" s="103"/>
    </row>
    <row r="242" spans="8:12">
      <c r="H242" s="13" t="s">
        <v>218</v>
      </c>
      <c r="I242" s="103">
        <f>I62</f>
        <v>17203932.800000001</v>
      </c>
      <c r="J242" s="29">
        <f t="shared" ref="J242:L242" si="40">J62</f>
        <v>17974080.199999999</v>
      </c>
      <c r="K242" s="29">
        <f t="shared" si="40"/>
        <v>19193272.399999999</v>
      </c>
      <c r="L242" s="29">
        <f t="shared" si="40"/>
        <v>15148366.84</v>
      </c>
    </row>
    <row r="243" spans="8:12">
      <c r="H243" s="13" t="s">
        <v>212</v>
      </c>
      <c r="I243" s="107">
        <f>I63</f>
        <v>3886664.7</v>
      </c>
      <c r="J243" s="88">
        <f t="shared" ref="J243:L243" si="41">J63</f>
        <v>3165913.1</v>
      </c>
      <c r="K243" s="88">
        <f t="shared" si="41"/>
        <v>4204706.9000000004</v>
      </c>
      <c r="L243" s="88">
        <f t="shared" si="41"/>
        <v>0</v>
      </c>
    </row>
    <row r="244" spans="8:12">
      <c r="H244" s="13" t="s">
        <v>219</v>
      </c>
      <c r="I244" s="103">
        <f>I68</f>
        <v>202646.49999999997</v>
      </c>
      <c r="J244" s="29">
        <f t="shared" ref="J244:L244" si="42">J68</f>
        <v>263129.8</v>
      </c>
      <c r="K244" s="29">
        <f t="shared" si="42"/>
        <v>35356.799999999996</v>
      </c>
      <c r="L244" s="29">
        <f t="shared" si="42"/>
        <v>1473.9</v>
      </c>
    </row>
    <row r="245" spans="8:12">
      <c r="H245" s="13" t="s">
        <v>220</v>
      </c>
      <c r="I245" s="103">
        <f>I70</f>
        <v>0</v>
      </c>
      <c r="J245" s="29">
        <f t="shared" ref="J245:L245" si="43">J70</f>
        <v>10725.5</v>
      </c>
      <c r="K245" s="29">
        <f t="shared" si="43"/>
        <v>0</v>
      </c>
      <c r="L245" s="29">
        <f t="shared" si="43"/>
        <v>0</v>
      </c>
    </row>
    <row r="246" spans="8:12">
      <c r="H246" s="84" t="s">
        <v>14</v>
      </c>
      <c r="I246" s="106">
        <f>I242+I244</f>
        <v>17406579.300000001</v>
      </c>
      <c r="J246" s="33">
        <f>J242+J244+J245</f>
        <v>18247935.5</v>
      </c>
      <c r="K246" s="33">
        <f t="shared" ref="K246:L246" si="44">K242+K244</f>
        <v>19228629.199999999</v>
      </c>
      <c r="L246" s="33">
        <f t="shared" si="44"/>
        <v>15149840.74</v>
      </c>
    </row>
  </sheetData>
  <mergeCells count="62">
    <mergeCell ref="A193:A209"/>
    <mergeCell ref="C193:C201"/>
    <mergeCell ref="A60:A71"/>
    <mergeCell ref="C60:O60"/>
    <mergeCell ref="B62:B71"/>
    <mergeCell ref="C111:C112"/>
    <mergeCell ref="B159:B185"/>
    <mergeCell ref="C159:C177"/>
    <mergeCell ref="A72:A93"/>
    <mergeCell ref="A94:A98"/>
    <mergeCell ref="A99:A109"/>
    <mergeCell ref="C110:O110"/>
    <mergeCell ref="B111:B119"/>
    <mergeCell ref="A110:A119"/>
    <mergeCell ref="B47:B50"/>
    <mergeCell ref="B14:B17"/>
    <mergeCell ref="B18:C18"/>
    <mergeCell ref="B19:B22"/>
    <mergeCell ref="B23:B26"/>
    <mergeCell ref="B27:B30"/>
    <mergeCell ref="B51:B54"/>
    <mergeCell ref="A57:A58"/>
    <mergeCell ref="B57:B58"/>
    <mergeCell ref="C57:C58"/>
    <mergeCell ref="A9:O9"/>
    <mergeCell ref="A11:A12"/>
    <mergeCell ref="B11:B12"/>
    <mergeCell ref="C11:C12"/>
    <mergeCell ref="H11:O11"/>
    <mergeCell ref="D57:G57"/>
    <mergeCell ref="H57:O57"/>
    <mergeCell ref="D58:G58"/>
    <mergeCell ref="B31:B34"/>
    <mergeCell ref="B35:B38"/>
    <mergeCell ref="B39:B42"/>
    <mergeCell ref="B43:B46"/>
    <mergeCell ref="K2:O2"/>
    <mergeCell ref="K3:O3"/>
    <mergeCell ref="K4:O4"/>
    <mergeCell ref="K5:O5"/>
    <mergeCell ref="A7:O7"/>
    <mergeCell ref="C72:O72"/>
    <mergeCell ref="B73:B98"/>
    <mergeCell ref="C73:C90"/>
    <mergeCell ref="C99:O99"/>
    <mergeCell ref="C100:C101"/>
    <mergeCell ref="C130:O130"/>
    <mergeCell ref="C211:C215"/>
    <mergeCell ref="A210:A222"/>
    <mergeCell ref="A120:A129"/>
    <mergeCell ref="A139:A157"/>
    <mergeCell ref="A158:A185"/>
    <mergeCell ref="C210:O210"/>
    <mergeCell ref="C186:O186"/>
    <mergeCell ref="B131:B138"/>
    <mergeCell ref="C139:O139"/>
    <mergeCell ref="C140:C149"/>
    <mergeCell ref="C158:O158"/>
    <mergeCell ref="C120:O120"/>
    <mergeCell ref="B121:B129"/>
    <mergeCell ref="C187:C192"/>
    <mergeCell ref="A186:A192"/>
  </mergeCells>
  <printOptions horizontalCentered="1"/>
  <pageMargins left="0.39370078740157483" right="0.39370078740157483" top="0.39370078740157483" bottom="0.31496062992125984" header="0.19685039370078741" footer="0.51181102362204722"/>
  <pageSetup paperSize="9" scale="62" firstPageNumber="12" orientation="landscape" useFirstPageNumber="1" horizontalDpi="300" verticalDpi="300" r:id="rId1"/>
  <headerFooter>
    <oddHeader>&amp;C&amp;"Times New Roman,обычный"&amp;12&amp;P</oddHeader>
  </headerFooter>
</worksheet>
</file>

<file path=xl/worksheets/sheet4.xml><?xml version="1.0" encoding="utf-8"?>
<worksheet xmlns="http://schemas.openxmlformats.org/spreadsheetml/2006/main" xmlns:r="http://schemas.openxmlformats.org/officeDocument/2006/relationships">
  <sheetPr>
    <tabColor rgb="FFFFFF00"/>
  </sheetPr>
  <dimension ref="A1:S14"/>
  <sheetViews>
    <sheetView view="pageBreakPreview" topLeftCell="E1" zoomScale="90" zoomScaleNormal="70" zoomScaleSheetLayoutView="90" workbookViewId="0">
      <selection activeCell="G1" sqref="G1"/>
    </sheetView>
  </sheetViews>
  <sheetFormatPr defaultRowHeight="15"/>
  <cols>
    <col min="1" max="1" width="4.7109375" style="134" customWidth="1"/>
    <col min="2" max="2" width="37.85546875" style="134" customWidth="1"/>
    <col min="3" max="3" width="13.85546875" style="134" customWidth="1"/>
    <col min="4" max="4" width="51.28515625" style="134" customWidth="1"/>
    <col min="5" max="5" width="21.42578125" style="134" customWidth="1"/>
    <col min="6" max="6" width="68.42578125" style="134" customWidth="1"/>
    <col min="7" max="7" width="22.42578125" style="134" customWidth="1"/>
    <col min="8" max="8" width="26.7109375" style="134" customWidth="1"/>
    <col min="9" max="9" width="29" style="134" customWidth="1"/>
    <col min="10" max="10" width="20.140625" style="134" customWidth="1"/>
    <col min="11" max="11" width="17.7109375" style="134" customWidth="1"/>
    <col min="12" max="12" width="16.5703125" style="134" customWidth="1"/>
    <col min="13" max="16384" width="9.140625" style="134"/>
  </cols>
  <sheetData>
    <row r="1" spans="1:19" ht="99" customHeight="1">
      <c r="J1" s="277" t="s">
        <v>223</v>
      </c>
      <c r="K1" s="277"/>
      <c r="L1" s="277"/>
    </row>
    <row r="3" spans="1:19" ht="18.75">
      <c r="A3" s="278" t="s">
        <v>224</v>
      </c>
      <c r="B3" s="278"/>
      <c r="C3" s="278"/>
      <c r="D3" s="278"/>
      <c r="E3" s="278"/>
      <c r="F3" s="278"/>
      <c r="G3" s="278"/>
      <c r="H3" s="278"/>
      <c r="I3" s="278"/>
      <c r="J3" s="278"/>
      <c r="K3" s="278"/>
      <c r="L3" s="278"/>
    </row>
    <row r="4" spans="1:19">
      <c r="A4" s="135"/>
    </row>
    <row r="5" spans="1:19" ht="102" customHeight="1">
      <c r="A5" s="136" t="s">
        <v>41</v>
      </c>
      <c r="B5" s="136" t="s">
        <v>197</v>
      </c>
      <c r="C5" s="136" t="s">
        <v>225</v>
      </c>
      <c r="D5" s="136" t="s">
        <v>226</v>
      </c>
      <c r="E5" s="136" t="s">
        <v>227</v>
      </c>
      <c r="F5" s="136" t="s">
        <v>361</v>
      </c>
      <c r="G5" s="136" t="s">
        <v>362</v>
      </c>
      <c r="H5" s="136" t="s">
        <v>228</v>
      </c>
      <c r="I5" s="136" t="s">
        <v>229</v>
      </c>
      <c r="J5" s="136" t="s">
        <v>363</v>
      </c>
      <c r="K5" s="136" t="s">
        <v>230</v>
      </c>
      <c r="L5" s="136" t="s">
        <v>231</v>
      </c>
    </row>
    <row r="6" spans="1:19" ht="15" customHeight="1">
      <c r="A6" s="136">
        <v>1</v>
      </c>
      <c r="B6" s="136">
        <v>2</v>
      </c>
      <c r="C6" s="136">
        <v>3</v>
      </c>
      <c r="D6" s="136">
        <v>4</v>
      </c>
      <c r="E6" s="136">
        <v>5</v>
      </c>
      <c r="F6" s="136">
        <v>6</v>
      </c>
      <c r="G6" s="136">
        <v>7</v>
      </c>
      <c r="H6" s="136">
        <v>8</v>
      </c>
      <c r="I6" s="136">
        <v>9</v>
      </c>
      <c r="J6" s="136">
        <v>10</v>
      </c>
      <c r="K6" s="136">
        <v>11</v>
      </c>
      <c r="L6" s="136">
        <v>12</v>
      </c>
    </row>
    <row r="7" spans="1:19" ht="342.75" customHeight="1">
      <c r="A7" s="137">
        <v>1</v>
      </c>
      <c r="B7" s="137" t="s">
        <v>201</v>
      </c>
      <c r="C7" s="138" t="s">
        <v>198</v>
      </c>
      <c r="D7" s="139" t="s">
        <v>232</v>
      </c>
      <c r="E7" s="139" t="s">
        <v>233</v>
      </c>
      <c r="F7" s="140" t="s">
        <v>234</v>
      </c>
      <c r="G7" s="139" t="s">
        <v>353</v>
      </c>
      <c r="H7" s="141">
        <v>1</v>
      </c>
      <c r="I7" s="142" t="s">
        <v>348</v>
      </c>
      <c r="J7" s="143" t="s">
        <v>235</v>
      </c>
      <c r="K7" s="139" t="s">
        <v>342</v>
      </c>
      <c r="L7" s="139" t="s">
        <v>236</v>
      </c>
      <c r="S7" s="134" t="s">
        <v>27</v>
      </c>
    </row>
    <row r="8" spans="1:19" ht="64.5" customHeight="1">
      <c r="A8" s="279">
        <v>2</v>
      </c>
      <c r="B8" s="281" t="s">
        <v>237</v>
      </c>
      <c r="C8" s="283" t="s">
        <v>198</v>
      </c>
      <c r="D8" s="275" t="s">
        <v>238</v>
      </c>
      <c r="E8" s="275" t="s">
        <v>239</v>
      </c>
      <c r="F8" s="144"/>
      <c r="G8" s="275" t="s">
        <v>354</v>
      </c>
      <c r="H8" s="285">
        <v>1</v>
      </c>
      <c r="I8" s="275" t="s">
        <v>349</v>
      </c>
      <c r="J8" s="275" t="s">
        <v>240</v>
      </c>
      <c r="K8" s="275" t="s">
        <v>343</v>
      </c>
      <c r="L8" s="275" t="s">
        <v>241</v>
      </c>
    </row>
    <row r="9" spans="1:19" ht="409.5" customHeight="1">
      <c r="A9" s="280"/>
      <c r="B9" s="282"/>
      <c r="C9" s="284"/>
      <c r="D9" s="276"/>
      <c r="E9" s="276"/>
      <c r="F9" s="151" t="s">
        <v>341</v>
      </c>
      <c r="G9" s="276"/>
      <c r="H9" s="286"/>
      <c r="I9" s="276"/>
      <c r="J9" s="276"/>
      <c r="K9" s="276"/>
      <c r="L9" s="276"/>
    </row>
    <row r="10" spans="1:19" ht="228.75" customHeight="1">
      <c r="A10" s="137"/>
      <c r="B10" s="142"/>
      <c r="C10" s="138"/>
      <c r="D10" s="139"/>
      <c r="E10" s="139"/>
      <c r="F10" s="152" t="s">
        <v>357</v>
      </c>
      <c r="G10" s="139"/>
      <c r="H10" s="141"/>
      <c r="I10" s="139"/>
      <c r="J10" s="139"/>
      <c r="K10" s="139"/>
      <c r="L10" s="139"/>
    </row>
    <row r="11" spans="1:19" ht="402" customHeight="1">
      <c r="A11" s="137">
        <v>3</v>
      </c>
      <c r="B11" s="142" t="s">
        <v>347</v>
      </c>
      <c r="C11" s="138" t="s">
        <v>199</v>
      </c>
      <c r="D11" s="145" t="s">
        <v>358</v>
      </c>
      <c r="E11" s="145" t="s">
        <v>355</v>
      </c>
      <c r="F11" s="146" t="s">
        <v>345</v>
      </c>
      <c r="G11" s="145"/>
      <c r="H11" s="145" t="s">
        <v>359</v>
      </c>
      <c r="I11" s="145" t="s">
        <v>352</v>
      </c>
      <c r="J11" s="142" t="s">
        <v>242</v>
      </c>
      <c r="K11" s="145" t="s">
        <v>360</v>
      </c>
      <c r="L11" s="145" t="s">
        <v>243</v>
      </c>
    </row>
    <row r="12" spans="1:19" ht="388.5" customHeight="1">
      <c r="A12" s="147">
        <v>4</v>
      </c>
      <c r="B12" s="147" t="s">
        <v>344</v>
      </c>
      <c r="C12" s="148" t="s">
        <v>200</v>
      </c>
      <c r="D12" s="147" t="s">
        <v>350</v>
      </c>
      <c r="E12" s="147" t="s">
        <v>351</v>
      </c>
      <c r="F12" s="149" t="s">
        <v>244</v>
      </c>
      <c r="G12" s="147"/>
      <c r="H12" s="147" t="s">
        <v>346</v>
      </c>
      <c r="I12" s="147" t="s">
        <v>356</v>
      </c>
      <c r="J12" s="142" t="s">
        <v>235</v>
      </c>
      <c r="K12" s="139" t="s">
        <v>245</v>
      </c>
      <c r="L12" s="147" t="s">
        <v>246</v>
      </c>
    </row>
    <row r="14" spans="1:19">
      <c r="E14" s="150"/>
      <c r="G14" s="150"/>
      <c r="J14" s="150"/>
      <c r="L14" s="150"/>
    </row>
  </sheetData>
  <mergeCells count="13">
    <mergeCell ref="J8:J9"/>
    <mergeCell ref="K8:K9"/>
    <mergeCell ref="L8:L9"/>
    <mergeCell ref="J1:L1"/>
    <mergeCell ref="A3:L3"/>
    <mergeCell ref="A8:A9"/>
    <mergeCell ref="B8:B9"/>
    <mergeCell ref="C8:C9"/>
    <mergeCell ref="D8:D9"/>
    <mergeCell ref="E8:E9"/>
    <mergeCell ref="G8:G9"/>
    <mergeCell ref="H8:H9"/>
    <mergeCell ref="I8:I9"/>
  </mergeCells>
  <hyperlinks>
    <hyperlink ref="D5" location="_ftn1" display="_ftn1"/>
    <hyperlink ref="E5" location="_ftn2" display="_ftn2"/>
    <hyperlink ref="F5" location="_ftn3" display="_ftn3"/>
    <hyperlink ref="J5" location="_ftn5" display="_ftn5"/>
    <hyperlink ref="K5" location="_ftn6" display="_ftn6"/>
    <hyperlink ref="L5" location="_ftn7" display="_ftn7"/>
  </hyperlinks>
  <printOptions horizontalCentered="1"/>
  <pageMargins left="0.39370078740157483" right="0.39370078740157483" top="1.1811023622047245" bottom="0.39370078740157483" header="0.31496062992125984" footer="0.31496062992125984"/>
  <pageSetup paperSize="9" scale="41" firstPageNumber="17" fitToWidth="2" fitToHeight="0" orientation="landscape" useFirstPageNumber="1" r:id="rId1"/>
  <headerFooter>
    <oddHeader>&amp;C&amp;P</oddHeader>
  </headerFooter>
  <rowBreaks count="2" manualBreakCount="2">
    <brk id="9" max="11" man="1"/>
    <brk id="12" max="11" man="1"/>
  </rowBreaks>
  <drawing r:id="rId2"/>
</worksheet>
</file>

<file path=docProps/app.xml><?xml version="1.0" encoding="utf-8"?>
<Properties xmlns="http://schemas.openxmlformats.org/officeDocument/2006/extended-properties" xmlns:vt="http://schemas.openxmlformats.org/officeDocument/2006/docPropsVTypes">
  <Template/>
  <TotalTime>253</TotalTime>
  <Application>LibreOffice/7.6.7.2$Linux_X86_64 LibreOffice_project/60$Build-2</Application>
  <DocSecurity>0</DocSecurity>
  <ScaleCrop>false</ScaleCrop>
  <HeadingPairs>
    <vt:vector size="4" baseType="variant">
      <vt:variant>
        <vt:lpstr>Листы</vt:lpstr>
      </vt:variant>
      <vt:variant>
        <vt:i4>4</vt:i4>
      </vt:variant>
      <vt:variant>
        <vt:lpstr>Именованные диапазоны</vt:lpstr>
      </vt:variant>
      <vt:variant>
        <vt:i4>12</vt:i4>
      </vt:variant>
    </vt:vector>
  </HeadingPairs>
  <TitlesOfParts>
    <vt:vector size="16" baseType="lpstr">
      <vt:lpstr>1. Основные положения ГП Уточ</vt:lpstr>
      <vt:lpstr>4. Структура </vt:lpstr>
      <vt:lpstr>5. Финансиров 12.11.2025</vt:lpstr>
      <vt:lpstr>Методика расчета УТОЧ</vt:lpstr>
      <vt:lpstr>'Методика расчета УТОЧ'!_ftnref1</vt:lpstr>
      <vt:lpstr>'1. Основные положения ГП Уточ'!_ftnref2</vt:lpstr>
      <vt:lpstr>'1. Основные положения ГП Уточ'!_ftnref3</vt:lpstr>
      <vt:lpstr>'1. Основные положения ГП Уточ'!_ftnref5</vt:lpstr>
      <vt:lpstr>'Методика расчета УТОЧ'!_ftnref7</vt:lpstr>
      <vt:lpstr>'4. Структура '!Заголовки_для_печати</vt:lpstr>
      <vt:lpstr>'5. Финансиров 12.11.2025'!Заголовки_для_печати</vt:lpstr>
      <vt:lpstr>'Методика расчета УТОЧ'!Заголовки_для_печати</vt:lpstr>
      <vt:lpstr>'1. Основные положения ГП Уточ'!Область_печати</vt:lpstr>
      <vt:lpstr>'4. Структура '!Область_печати</vt:lpstr>
      <vt:lpstr>'5. Финансиров 12.11.2025'!Область_печати</vt:lpstr>
      <vt:lpstr>'Методика расчета УТОЧ'!Область_печати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Кондакова Анна Юрьевна</dc:creator>
  <dc:description/>
  <cp:lastModifiedBy>Шеховцова</cp:lastModifiedBy>
  <cp:revision>18</cp:revision>
  <cp:lastPrinted>2025-12-15T08:13:45Z</cp:lastPrinted>
  <dcterms:created xsi:type="dcterms:W3CDTF">2023-03-30T13:12:42Z</dcterms:created>
  <dcterms:modified xsi:type="dcterms:W3CDTF">2025-12-15T08:13:47Z</dcterms:modified>
  <dc:language>ru-RU</dc:language>
</cp:coreProperties>
</file>